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jmcyr1\Documents\"/>
    </mc:Choice>
  </mc:AlternateContent>
  <xr:revisionPtr revIDLastSave="0" documentId="8_{81BA2804-9ACD-4B07-B689-2D591F6A61C4}" xr6:coauthVersionLast="43" xr6:coauthVersionMax="43" xr10:uidLastSave="{00000000-0000-0000-0000-000000000000}"/>
  <bookViews>
    <workbookView xWindow="57480" yWindow="-120" windowWidth="25440" windowHeight="15390" firstSheet="1" activeTab="1" xr2:uid="{00000000-000D-0000-FFFF-FFFF00000000}"/>
  </bookViews>
  <sheets>
    <sheet name="Historical" sheetId="10" state="hidden" r:id="rId1"/>
    <sheet name="Faculty (Ex 1)" sheetId="7" r:id="rId2"/>
    <sheet name="Faculty CAPPED 3.2 (Ex 2)" sheetId="8" r:id="rId3"/>
    <sheet name="Faculty (Ex3a - NIH)" sheetId="12" r:id="rId4"/>
    <sheet name="Faculty CAPPED 3.2 (Ex3b - NIH)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3" l="1"/>
  <c r="H38" i="12"/>
  <c r="K30" i="13" l="1"/>
  <c r="K31" i="13"/>
  <c r="K32" i="13"/>
  <c r="K33" i="13"/>
  <c r="S12" i="12" l="1"/>
  <c r="R12" i="12"/>
  <c r="R11" i="12"/>
  <c r="R13" i="13"/>
  <c r="S12" i="13"/>
  <c r="R12" i="13"/>
  <c r="R11" i="13"/>
  <c r="C34" i="13"/>
  <c r="C33" i="13"/>
  <c r="C32" i="13"/>
  <c r="C31" i="13"/>
  <c r="C30" i="13"/>
  <c r="C29" i="13"/>
  <c r="D25" i="13"/>
  <c r="J13" i="13"/>
  <c r="E5" i="13"/>
  <c r="E6" i="13" s="1"/>
  <c r="J10" i="13" s="1"/>
  <c r="E4" i="13"/>
  <c r="C34" i="12"/>
  <c r="C33" i="12"/>
  <c r="C32" i="12"/>
  <c r="C31" i="12"/>
  <c r="C30" i="12"/>
  <c r="C29" i="12"/>
  <c r="D25" i="12"/>
  <c r="E5" i="12"/>
  <c r="E4" i="12"/>
  <c r="D11" i="12" s="1"/>
  <c r="R13" i="12" l="1"/>
  <c r="K20" i="13"/>
  <c r="K21" i="13"/>
  <c r="K22" i="13"/>
  <c r="K23" i="13"/>
  <c r="J11" i="13"/>
  <c r="J12" i="13" s="1"/>
  <c r="J14" i="13" s="1"/>
  <c r="D9" i="13"/>
  <c r="E11" i="12"/>
  <c r="D13" i="12"/>
  <c r="E13" i="12" s="1"/>
  <c r="F13" i="12" s="1"/>
  <c r="E6" i="12"/>
  <c r="K22" i="12" l="1"/>
  <c r="K21" i="12"/>
  <c r="K20" i="12"/>
  <c r="K23" i="12"/>
  <c r="D11" i="13"/>
  <c r="D13" i="13"/>
  <c r="G24" i="12"/>
  <c r="H23" i="12"/>
  <c r="E22" i="12"/>
  <c r="F21" i="12"/>
  <c r="G20" i="12"/>
  <c r="H19" i="12"/>
  <c r="F19" i="12"/>
  <c r="E23" i="12"/>
  <c r="G21" i="12"/>
  <c r="E19" i="12"/>
  <c r="F24" i="12"/>
  <c r="G23" i="12"/>
  <c r="H22" i="12"/>
  <c r="E21" i="12"/>
  <c r="F20" i="12"/>
  <c r="G19" i="12"/>
  <c r="G25" i="12" s="1"/>
  <c r="E20" i="12"/>
  <c r="H20" i="12"/>
  <c r="E24" i="12"/>
  <c r="F23" i="12"/>
  <c r="G22" i="12"/>
  <c r="H21" i="12"/>
  <c r="H24" i="12"/>
  <c r="F22" i="12"/>
  <c r="D31" i="12"/>
  <c r="D30" i="12"/>
  <c r="D32" i="12"/>
  <c r="D33" i="12"/>
  <c r="D29" i="12"/>
  <c r="D9" i="12"/>
  <c r="H5" i="12"/>
  <c r="D12" i="12"/>
  <c r="D6" i="10"/>
  <c r="I11" i="10" s="1"/>
  <c r="D5" i="10"/>
  <c r="L20" i="12" l="1"/>
  <c r="L22" i="12"/>
  <c r="E13" i="13"/>
  <c r="F13" i="13" s="1"/>
  <c r="D12" i="13"/>
  <c r="E12" i="13" s="1"/>
  <c r="D15" i="13"/>
  <c r="E11" i="13"/>
  <c r="I20" i="12"/>
  <c r="I23" i="12"/>
  <c r="L23" i="12" s="1"/>
  <c r="I24" i="12"/>
  <c r="K24" i="12" s="1"/>
  <c r="L24" i="12" s="1"/>
  <c r="E32" i="12"/>
  <c r="H32" i="12"/>
  <c r="F32" i="12"/>
  <c r="G32" i="12"/>
  <c r="G30" i="12"/>
  <c r="F30" i="12"/>
  <c r="H30" i="12"/>
  <c r="E30" i="12"/>
  <c r="F25" i="12"/>
  <c r="I22" i="12"/>
  <c r="F29" i="12"/>
  <c r="E29" i="12"/>
  <c r="H29" i="12"/>
  <c r="G29" i="12"/>
  <c r="I21" i="12"/>
  <c r="L21" i="12" s="1"/>
  <c r="E25" i="12"/>
  <c r="I19" i="12"/>
  <c r="K19" i="12" s="1"/>
  <c r="H25" i="12"/>
  <c r="H31" i="12"/>
  <c r="E31" i="12"/>
  <c r="G31" i="12"/>
  <c r="F31" i="12"/>
  <c r="E12" i="12"/>
  <c r="D15" i="12"/>
  <c r="F15" i="12" s="1"/>
  <c r="F33" i="12"/>
  <c r="E33" i="12"/>
  <c r="H33" i="12"/>
  <c r="G33" i="12"/>
  <c r="D12" i="10"/>
  <c r="D16" i="10" s="1"/>
  <c r="I13" i="10"/>
  <c r="D10" i="10"/>
  <c r="G14" i="10"/>
  <c r="G13" i="10" s="1"/>
  <c r="D7" i="10"/>
  <c r="G12" i="10"/>
  <c r="L19" i="12" l="1"/>
  <c r="L25" i="12" s="1"/>
  <c r="K25" i="12"/>
  <c r="M25" i="12" s="1"/>
  <c r="F24" i="13"/>
  <c r="G23" i="13"/>
  <c r="H22" i="13"/>
  <c r="E21" i="13"/>
  <c r="F20" i="13"/>
  <c r="G19" i="13"/>
  <c r="H23" i="13"/>
  <c r="E22" i="13"/>
  <c r="G20" i="13"/>
  <c r="E15" i="13"/>
  <c r="E24" i="13"/>
  <c r="F23" i="13"/>
  <c r="G22" i="13"/>
  <c r="H21" i="13"/>
  <c r="E20" i="13"/>
  <c r="F19" i="13"/>
  <c r="F22" i="13"/>
  <c r="H24" i="13"/>
  <c r="E23" i="13"/>
  <c r="G21" i="13"/>
  <c r="H20" i="13"/>
  <c r="E19" i="13"/>
  <c r="G24" i="13"/>
  <c r="F21" i="13"/>
  <c r="H19" i="13"/>
  <c r="F34" i="13"/>
  <c r="G34" i="13"/>
  <c r="F12" i="13"/>
  <c r="D34" i="13" s="1"/>
  <c r="E34" i="13"/>
  <c r="H34" i="13"/>
  <c r="D32" i="13"/>
  <c r="D31" i="13"/>
  <c r="D33" i="13"/>
  <c r="D29" i="13"/>
  <c r="D30" i="13"/>
  <c r="I30" i="12"/>
  <c r="L30" i="12" s="1"/>
  <c r="I33" i="12"/>
  <c r="K33" i="12" s="1"/>
  <c r="L33" i="12" s="1"/>
  <c r="I31" i="12"/>
  <c r="K31" i="12" s="1"/>
  <c r="L31" i="12" s="1"/>
  <c r="I32" i="12"/>
  <c r="K32" i="12" s="1"/>
  <c r="L32" i="12" s="1"/>
  <c r="G34" i="12"/>
  <c r="G35" i="12" s="1"/>
  <c r="F34" i="12"/>
  <c r="F35" i="12" s="1"/>
  <c r="F12" i="12"/>
  <c r="D34" i="12" s="1"/>
  <c r="D35" i="12" s="1"/>
  <c r="E34" i="12"/>
  <c r="H34" i="12"/>
  <c r="H35" i="12" s="1"/>
  <c r="E15" i="12"/>
  <c r="I25" i="12"/>
  <c r="I29" i="12"/>
  <c r="I10" i="10"/>
  <c r="I12" i="10" s="1"/>
  <c r="I14" i="10" s="1"/>
  <c r="I5" i="10" s="1"/>
  <c r="F10" i="10"/>
  <c r="F19" i="10" s="1"/>
  <c r="F21" i="10" s="1"/>
  <c r="F23" i="10" s="1"/>
  <c r="G16" i="10"/>
  <c r="E10" i="10"/>
  <c r="E12" i="10" s="1"/>
  <c r="E16" i="10" s="1"/>
  <c r="G10" i="10"/>
  <c r="I22" i="13" l="1"/>
  <c r="L22" i="13" s="1"/>
  <c r="K29" i="12"/>
  <c r="I20" i="13"/>
  <c r="L20" i="13" s="1"/>
  <c r="G31" i="13"/>
  <c r="F31" i="13"/>
  <c r="E31" i="13"/>
  <c r="H31" i="13"/>
  <c r="F25" i="13"/>
  <c r="F30" i="13"/>
  <c r="E30" i="13"/>
  <c r="H30" i="13"/>
  <c r="G30" i="13"/>
  <c r="I23" i="13"/>
  <c r="L23" i="13" s="1"/>
  <c r="I24" i="13"/>
  <c r="I21" i="13"/>
  <c r="L21" i="13" s="1"/>
  <c r="D35" i="13"/>
  <c r="E29" i="13"/>
  <c r="F29" i="13"/>
  <c r="H29" i="13"/>
  <c r="G29" i="13"/>
  <c r="E25" i="13"/>
  <c r="I19" i="13"/>
  <c r="G25" i="13"/>
  <c r="H32" i="13"/>
  <c r="G32" i="13"/>
  <c r="E32" i="13"/>
  <c r="F32" i="13"/>
  <c r="E33" i="13"/>
  <c r="H33" i="13"/>
  <c r="G33" i="13"/>
  <c r="F33" i="13"/>
  <c r="I34" i="13"/>
  <c r="H25" i="13"/>
  <c r="I34" i="12"/>
  <c r="K34" i="12" s="1"/>
  <c r="L34" i="12" s="1"/>
  <c r="E35" i="12"/>
  <c r="F14" i="10"/>
  <c r="F13" i="10" s="1"/>
  <c r="F12" i="10"/>
  <c r="E5" i="7"/>
  <c r="E4" i="7"/>
  <c r="K19" i="13" l="1"/>
  <c r="L19" i="13"/>
  <c r="K35" i="12"/>
  <c r="L29" i="12"/>
  <c r="L35" i="12" s="1"/>
  <c r="L38" i="12" s="1"/>
  <c r="K34" i="13"/>
  <c r="L34" i="13"/>
  <c r="K24" i="13"/>
  <c r="L24" i="13"/>
  <c r="I35" i="12"/>
  <c r="I38" i="12" s="1"/>
  <c r="H35" i="13"/>
  <c r="I25" i="13"/>
  <c r="F35" i="13"/>
  <c r="I30" i="13"/>
  <c r="L30" i="13" s="1"/>
  <c r="I31" i="13"/>
  <c r="L31" i="13" s="1"/>
  <c r="I29" i="13"/>
  <c r="E35" i="13"/>
  <c r="I32" i="13"/>
  <c r="L32" i="13" s="1"/>
  <c r="I33" i="13"/>
  <c r="L33" i="13" s="1"/>
  <c r="G35" i="13"/>
  <c r="F16" i="10"/>
  <c r="C34" i="8"/>
  <c r="C33" i="8"/>
  <c r="C32" i="8"/>
  <c r="C31" i="8"/>
  <c r="C30" i="8"/>
  <c r="C29" i="8"/>
  <c r="D25" i="8"/>
  <c r="E5" i="8"/>
  <c r="E4" i="8"/>
  <c r="J13" i="8" s="1"/>
  <c r="C34" i="7"/>
  <c r="C33" i="7"/>
  <c r="C32" i="7"/>
  <c r="C31" i="7"/>
  <c r="C30" i="7"/>
  <c r="C29" i="7"/>
  <c r="D25" i="7"/>
  <c r="K29" i="13" l="1"/>
  <c r="K35" i="13" s="1"/>
  <c r="L29" i="13"/>
  <c r="L35" i="13" s="1"/>
  <c r="L25" i="13"/>
  <c r="L38" i="13" s="1"/>
  <c r="K38" i="12"/>
  <c r="M38" i="12" s="1"/>
  <c r="M35" i="12"/>
  <c r="K25" i="13"/>
  <c r="I35" i="13"/>
  <c r="I38" i="13" s="1"/>
  <c r="E6" i="8"/>
  <c r="J11" i="8"/>
  <c r="D13" i="7"/>
  <c r="E6" i="7"/>
  <c r="D9" i="7" s="1"/>
  <c r="D11" i="7"/>
  <c r="E11" i="7" s="1"/>
  <c r="K38" i="13" l="1"/>
  <c r="M38" i="13" s="1"/>
  <c r="M25" i="13"/>
  <c r="M35" i="13"/>
  <c r="H5" i="7"/>
  <c r="D9" i="8"/>
  <c r="J10" i="8"/>
  <c r="J12" i="8" s="1"/>
  <c r="J14" i="8" s="1"/>
  <c r="G20" i="7"/>
  <c r="H21" i="7"/>
  <c r="F23" i="7"/>
  <c r="G24" i="7"/>
  <c r="F19" i="7"/>
  <c r="E21" i="7"/>
  <c r="H20" i="7"/>
  <c r="F22" i="7"/>
  <c r="G23" i="7"/>
  <c r="H24" i="7"/>
  <c r="E24" i="7"/>
  <c r="E20" i="7"/>
  <c r="F21" i="7"/>
  <c r="G22" i="7"/>
  <c r="H23" i="7"/>
  <c r="H19" i="7"/>
  <c r="E23" i="7"/>
  <c r="E19" i="7"/>
  <c r="F20" i="7"/>
  <c r="G21" i="7"/>
  <c r="H22" i="7"/>
  <c r="F24" i="7"/>
  <c r="G19" i="7"/>
  <c r="E22" i="7"/>
  <c r="D12" i="7"/>
  <c r="E12" i="7" s="1"/>
  <c r="E13" i="7"/>
  <c r="F13" i="7" s="1"/>
  <c r="D33" i="7" l="1"/>
  <c r="G33" i="7" s="1"/>
  <c r="D29" i="7"/>
  <c r="D11" i="8"/>
  <c r="D13" i="8"/>
  <c r="I24" i="7"/>
  <c r="I21" i="7"/>
  <c r="I23" i="7"/>
  <c r="I22" i="7"/>
  <c r="D31" i="7"/>
  <c r="D32" i="7"/>
  <c r="D30" i="7"/>
  <c r="E15" i="7"/>
  <c r="E34" i="7"/>
  <c r="F34" i="7"/>
  <c r="H34" i="7"/>
  <c r="G34" i="7"/>
  <c r="F12" i="7"/>
  <c r="D34" i="7" s="1"/>
  <c r="D15" i="7"/>
  <c r="F15" i="7" s="1"/>
  <c r="I20" i="7"/>
  <c r="F33" i="7" l="1"/>
  <c r="H33" i="7"/>
  <c r="E33" i="7"/>
  <c r="D12" i="8"/>
  <c r="E12" i="8" s="1"/>
  <c r="E13" i="8"/>
  <c r="F13" i="8" s="1"/>
  <c r="D33" i="8" s="1"/>
  <c r="E11" i="8"/>
  <c r="I34" i="7"/>
  <c r="E31" i="7"/>
  <c r="G31" i="7"/>
  <c r="H31" i="7"/>
  <c r="F31" i="7"/>
  <c r="E29" i="7"/>
  <c r="D35" i="7"/>
  <c r="F29" i="7"/>
  <c r="G29" i="7"/>
  <c r="H29" i="7"/>
  <c r="E30" i="7"/>
  <c r="G30" i="7"/>
  <c r="H30" i="7"/>
  <c r="F30" i="7"/>
  <c r="F32" i="7"/>
  <c r="G32" i="7"/>
  <c r="H32" i="7"/>
  <c r="E32" i="7"/>
  <c r="I19" i="7"/>
  <c r="E25" i="7"/>
  <c r="F25" i="7"/>
  <c r="G25" i="7"/>
  <c r="H25" i="7"/>
  <c r="I33" i="7" l="1"/>
  <c r="D15" i="8"/>
  <c r="H33" i="8"/>
  <c r="G33" i="8"/>
  <c r="E33" i="8"/>
  <c r="F33" i="8"/>
  <c r="G24" i="8"/>
  <c r="G20" i="8"/>
  <c r="F22" i="8"/>
  <c r="E21" i="8"/>
  <c r="H20" i="8"/>
  <c r="H21" i="8"/>
  <c r="E19" i="8"/>
  <c r="F24" i="8"/>
  <c r="E20" i="8"/>
  <c r="H22" i="8"/>
  <c r="G22" i="8"/>
  <c r="H23" i="8"/>
  <c r="H19" i="8"/>
  <c r="F20" i="8"/>
  <c r="E24" i="8"/>
  <c r="E22" i="8"/>
  <c r="E15" i="8"/>
  <c r="G23" i="8"/>
  <c r="G19" i="8"/>
  <c r="F23" i="8"/>
  <c r="F19" i="8"/>
  <c r="F21" i="8"/>
  <c r="H24" i="8"/>
  <c r="E23" i="8"/>
  <c r="G21" i="8"/>
  <c r="D30" i="8"/>
  <c r="D32" i="8"/>
  <c r="D29" i="8"/>
  <c r="D31" i="8"/>
  <c r="F12" i="8"/>
  <c r="D34" i="8" s="1"/>
  <c r="H34" i="8"/>
  <c r="G34" i="8"/>
  <c r="E34" i="8"/>
  <c r="F34" i="8"/>
  <c r="F35" i="7"/>
  <c r="I30" i="7"/>
  <c r="I32" i="7"/>
  <c r="H35" i="7"/>
  <c r="E35" i="7"/>
  <c r="I29" i="7"/>
  <c r="I31" i="7"/>
  <c r="G35" i="7"/>
  <c r="I25" i="7"/>
  <c r="I23" i="8" l="1"/>
  <c r="I22" i="8"/>
  <c r="I21" i="8"/>
  <c r="I33" i="8"/>
  <c r="E29" i="8"/>
  <c r="D35" i="8"/>
  <c r="G29" i="8"/>
  <c r="F29" i="8"/>
  <c r="H29" i="8"/>
  <c r="H32" i="8"/>
  <c r="G32" i="8"/>
  <c r="F32" i="8"/>
  <c r="E32" i="8"/>
  <c r="G25" i="8"/>
  <c r="I24" i="8"/>
  <c r="E25" i="8"/>
  <c r="I19" i="8"/>
  <c r="F30" i="8"/>
  <c r="E30" i="8"/>
  <c r="H30" i="8"/>
  <c r="G30" i="8"/>
  <c r="I34" i="8"/>
  <c r="H31" i="8"/>
  <c r="G31" i="8"/>
  <c r="E31" i="8"/>
  <c r="F31" i="8"/>
  <c r="F25" i="8"/>
  <c r="H25" i="8"/>
  <c r="I20" i="8"/>
  <c r="I35" i="7"/>
  <c r="F35" i="8" l="1"/>
  <c r="I30" i="8"/>
  <c r="G35" i="8"/>
  <c r="I31" i="8"/>
  <c r="I25" i="8"/>
  <c r="I32" i="8"/>
  <c r="H35" i="8"/>
  <c r="E35" i="8"/>
  <c r="I29" i="8"/>
  <c r="I35" i="8" l="1"/>
</calcChain>
</file>

<file path=xl/sharedStrings.xml><?xml version="1.0" encoding="utf-8"?>
<sst xmlns="http://schemas.openxmlformats.org/spreadsheetml/2006/main" count="268" uniqueCount="82">
  <si>
    <t>prorate</t>
  </si>
  <si>
    <t>stipend paid by college</t>
  </si>
  <si>
    <t>XC form paid to employee</t>
  </si>
  <si>
    <t>PDC to the Grant</t>
  </si>
  <si>
    <t>Total capped earnings during the summer</t>
  </si>
  <si>
    <t>Remove all stipend amounts for now</t>
  </si>
  <si>
    <t>Total maximum allowed in summer for Academic component</t>
  </si>
  <si>
    <t>Divide by the monthly rate</t>
  </si>
  <si>
    <t>CAP CALCULATOR</t>
  </si>
  <si>
    <t>New monthly Cap, to be applied to stipend as well</t>
  </si>
  <si>
    <t>May</t>
  </si>
  <si>
    <t>June</t>
  </si>
  <si>
    <t>July</t>
  </si>
  <si>
    <t>Effort Calculator for Off Contract Compensation</t>
  </si>
  <si>
    <t>Academic Year Salary</t>
  </si>
  <si>
    <t>Salary</t>
  </si>
  <si>
    <t>Base Months</t>
  </si>
  <si>
    <t>Administrative Stipend Salary</t>
  </si>
  <si>
    <t>New IBS</t>
  </si>
  <si>
    <t>Source</t>
  </si>
  <si>
    <t>August</t>
  </si>
  <si>
    <t>Total Summer Months Research Effort</t>
  </si>
  <si>
    <t>Total</t>
  </si>
  <si>
    <t>Effort</t>
  </si>
  <si>
    <t>Based on 4 month off academic period</t>
  </si>
  <si>
    <t>Salary Breakdown</t>
  </si>
  <si>
    <t>PDC</t>
  </si>
  <si>
    <t>OAY Monthly rate</t>
  </si>
  <si>
    <t>Total Requested Research OAY compensation</t>
  </si>
  <si>
    <t>Total Paid to Faculty During 4 month OAY Period</t>
  </si>
  <si>
    <t>Extra Compensation Distribution</t>
  </si>
  <si>
    <t>Administrative Stipend Distribution</t>
  </si>
  <si>
    <t>PDC Splits</t>
  </si>
  <si>
    <t>Max Earning Validator</t>
  </si>
  <si>
    <t>FILL IN YELLOW FIELDS ONLY</t>
  </si>
  <si>
    <t>monthly</t>
  </si>
  <si>
    <t>Review of off contract calculation over 3 years</t>
  </si>
  <si>
    <t>AY  8month</t>
  </si>
  <si>
    <t>New cap for Employees with stipends capped at university 3.2 levels</t>
  </si>
  <si>
    <t>12 month stipend</t>
  </si>
  <si>
    <t>new IBS</t>
  </si>
  <si>
    <t>Summer cap at Person Month (PM)</t>
  </si>
  <si>
    <t>But have 4 summer months</t>
  </si>
  <si>
    <t>based on AY only (previous way)</t>
  </si>
  <si>
    <t>with stipend last year</t>
  </si>
  <si>
    <t>Univeristy capped at 3.2</t>
  </si>
  <si>
    <t>With stipend and PDC offset with 8/4 (capped 3.2 on SSOG)</t>
  </si>
  <si>
    <t>Total capped earnings</t>
  </si>
  <si>
    <t>remove all stipend amount</t>
  </si>
  <si>
    <t>total maximum allowed for AY in summer</t>
  </si>
  <si>
    <t>monthly rate</t>
  </si>
  <si>
    <t>New monthly Cap, to be applied to stipend as well.</t>
  </si>
  <si>
    <t>For Demonstrative purposes only</t>
  </si>
  <si>
    <t>Example 1: Dr. A with 8-month faculty appointment (100% effort over 3.2 months)</t>
  </si>
  <si>
    <t>555551 (NSF)</t>
  </si>
  <si>
    <t>555552 (DOD)</t>
  </si>
  <si>
    <t xml:space="preserve">Example 2: Dr. B with 8-month faculty appointment and supplemental administrative appointment </t>
  </si>
  <si>
    <t>(100% effort over 3.2 months | Sources = NSF and DOD)</t>
  </si>
  <si>
    <t>500002 (NIH)</t>
  </si>
  <si>
    <t>NIH CAP CALCULATOR</t>
  </si>
  <si>
    <t>NIH salary cap</t>
  </si>
  <si>
    <t>NIH monthly rate (197300/12)</t>
  </si>
  <si>
    <t>New base to calculate NIH cap</t>
  </si>
  <si>
    <t>NIH Cap?</t>
  </si>
  <si>
    <t>Yes</t>
  </si>
  <si>
    <t>No</t>
  </si>
  <si>
    <t>To Discretionary</t>
  </si>
  <si>
    <t>Adjustments</t>
  </si>
  <si>
    <t>Total:</t>
  </si>
  <si>
    <t>Revised Total</t>
  </si>
  <si>
    <t>Notes</t>
  </si>
  <si>
    <t>Admin stipend = $0</t>
  </si>
  <si>
    <t>Academic salary = $200,000</t>
  </si>
  <si>
    <t>Admin stipend = $24,000</t>
  </si>
  <si>
    <t xml:space="preserve">Example 3a: Dr. B with 8-month faculty appointment and supplemental administrative appointment </t>
  </si>
  <si>
    <t xml:space="preserve">Example 3b: Dr. B with 8-month faculty appointment and supplemental administrative appointment </t>
  </si>
  <si>
    <t>(100% effort over 2.0 months | Sources = NSF and NIH)</t>
  </si>
  <si>
    <t>(100% effort over 3.2 months | Sources = NSF and NIH)</t>
  </si>
  <si>
    <t>PDC is not needed since it's over NIH cap</t>
  </si>
  <si>
    <t>Additional calculations needed to account for NIH cap</t>
  </si>
  <si>
    <t>$16441 paid from NIH grant, remaining $8558 paid from discretionary</t>
  </si>
  <si>
    <t>$26306 paid from NIH grant, remaining $12893 paid from discretionary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</si>
</sst>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43" fontId="0" fillId="0" borderId="0" xfId="1" applyNumberFormat="1" applyFon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43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2" borderId="0" xfId="0" applyFill="1"/>
    <xf numFmtId="0" fontId="0" fillId="0" borderId="0" xfId="0" applyAlignment="1">
      <alignment horizontal="right"/>
    </xf>
    <xf numFmtId="165" fontId="2" fillId="0" borderId="0" xfId="0" applyNumberFormat="1" applyFont="1" applyFill="1"/>
    <xf numFmtId="164" fontId="0" fillId="2" borderId="0" xfId="1" applyNumberFormat="1" applyFont="1" applyFill="1"/>
    <xf numFmtId="0" fontId="0" fillId="0" borderId="0" xfId="0" applyAlignment="1">
      <alignment horizontal="left" indent="1"/>
    </xf>
    <xf numFmtId="9" fontId="0" fillId="0" borderId="0" xfId="2" applyFont="1"/>
    <xf numFmtId="164" fontId="2" fillId="0" borderId="0" xfId="1" applyNumberFormat="1" applyFont="1" applyAlignment="1">
      <alignment horizontal="right"/>
    </xf>
    <xf numFmtId="164" fontId="0" fillId="2" borderId="0" xfId="1" applyNumberFormat="1" applyFont="1" applyFill="1" applyAlignment="1">
      <alignment horizontal="right"/>
    </xf>
    <xf numFmtId="43" fontId="0" fillId="0" borderId="0" xfId="0" applyNumberFormat="1"/>
    <xf numFmtId="43" fontId="3" fillId="0" borderId="0" xfId="1" applyNumberFormat="1" applyFont="1" applyAlignment="1">
      <alignment horizontal="right"/>
    </xf>
    <xf numFmtId="0" fontId="0" fillId="0" borderId="0" xfId="0" applyFill="1" applyAlignment="1">
      <alignment horizontal="right" wrapText="1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left"/>
    </xf>
    <xf numFmtId="166" fontId="0" fillId="0" borderId="0" xfId="2" applyNumberFormat="1" applyFont="1"/>
    <xf numFmtId="43" fontId="2" fillId="0" borderId="0" xfId="0" applyNumberFormat="1" applyFont="1"/>
    <xf numFmtId="0" fontId="0" fillId="0" borderId="0" xfId="0" applyAlignment="1">
      <alignment horizontal="right" indent="1"/>
    </xf>
    <xf numFmtId="167" fontId="0" fillId="0" borderId="0" xfId="0" applyNumberFormat="1"/>
    <xf numFmtId="43" fontId="0" fillId="0" borderId="0" xfId="0" applyNumberFormat="1" applyFill="1"/>
    <xf numFmtId="43" fontId="2" fillId="0" borderId="0" xfId="0" applyNumberFormat="1" applyFont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2" borderId="4" xfId="0" applyFont="1" applyFill="1" applyBorder="1"/>
    <xf numFmtId="9" fontId="2" fillId="2" borderId="0" xfId="2" applyFont="1" applyFill="1" applyBorder="1"/>
    <xf numFmtId="43" fontId="0" fillId="0" borderId="0" xfId="0" applyNumberFormat="1" applyBorder="1"/>
    <xf numFmtId="43" fontId="0" fillId="0" borderId="5" xfId="0" applyNumberFormat="1" applyBorder="1"/>
    <xf numFmtId="0" fontId="2" fillId="0" borderId="6" xfId="0" applyFont="1" applyBorder="1"/>
    <xf numFmtId="9" fontId="2" fillId="0" borderId="7" xfId="2" applyFont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43" fontId="2" fillId="0" borderId="0" xfId="1" applyNumberFormat="1" applyFont="1"/>
    <xf numFmtId="10" fontId="2" fillId="0" borderId="0" xfId="2" applyNumberFormat="1" applyFont="1" applyFill="1" applyBorder="1"/>
    <xf numFmtId="9" fontId="2" fillId="0" borderId="0" xfId="2" applyFont="1" applyFill="1" applyBorder="1"/>
    <xf numFmtId="164" fontId="4" fillId="0" borderId="0" xfId="0" applyNumberFormat="1" applyFont="1"/>
    <xf numFmtId="0" fontId="2" fillId="0" borderId="0" xfId="0" applyFont="1" applyFill="1" applyBorder="1"/>
    <xf numFmtId="10" fontId="2" fillId="2" borderId="0" xfId="2" applyNumberFormat="1" applyFont="1" applyFill="1" applyBorder="1"/>
    <xf numFmtId="43" fontId="0" fillId="0" borderId="0" xfId="1" applyFont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4" fontId="0" fillId="0" borderId="0" xfId="1" applyNumberFormat="1" applyFont="1" applyFill="1"/>
    <xf numFmtId="165" fontId="4" fillId="0" borderId="0" xfId="0" applyNumberFormat="1" applyFont="1" applyFill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43" fontId="0" fillId="3" borderId="0" xfId="0" applyNumberFormat="1" applyFill="1"/>
    <xf numFmtId="164" fontId="2" fillId="3" borderId="0" xfId="0" applyNumberFormat="1" applyFont="1" applyFill="1"/>
    <xf numFmtId="0" fontId="0" fillId="3" borderId="0" xfId="0" applyFill="1"/>
    <xf numFmtId="164" fontId="0" fillId="3" borderId="0" xfId="1" applyNumberFormat="1" applyFont="1" applyFill="1"/>
    <xf numFmtId="168" fontId="0" fillId="3" borderId="0" xfId="1" applyNumberFormat="1" applyFont="1" applyFill="1"/>
    <xf numFmtId="43" fontId="0" fillId="3" borderId="0" xfId="1" applyNumberFormat="1" applyFont="1" applyFill="1"/>
    <xf numFmtId="43" fontId="0" fillId="0" borderId="7" xfId="0" applyNumberFormat="1" applyFill="1" applyBorder="1"/>
    <xf numFmtId="43" fontId="0" fillId="0" borderId="7" xfId="0" applyNumberFormat="1" applyBorder="1"/>
    <xf numFmtId="0" fontId="2" fillId="2" borderId="4" xfId="0" applyFont="1" applyFill="1" applyBorder="1" applyAlignment="1">
      <alignment horizontal="left"/>
    </xf>
    <xf numFmtId="43" fontId="0" fillId="3" borderId="0" xfId="0" applyNumberFormat="1" applyFill="1" applyBorder="1"/>
    <xf numFmtId="0" fontId="6" fillId="0" borderId="0" xfId="0" applyFont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Fill="1" applyBorder="1"/>
    <xf numFmtId="0" fontId="6" fillId="0" borderId="0" xfId="0" applyFont="1" applyFill="1"/>
    <xf numFmtId="0" fontId="0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3" fontId="7" fillId="0" borderId="0" xfId="0" applyNumberFormat="1" applyFont="1"/>
    <xf numFmtId="43" fontId="7" fillId="0" borderId="0" xfId="1" applyNumberFormat="1" applyFont="1" applyAlignment="1">
      <alignment horizontal="right"/>
    </xf>
    <xf numFmtId="0" fontId="7" fillId="0" borderId="0" xfId="0" applyFont="1" applyFill="1" applyBorder="1"/>
    <xf numFmtId="169" fontId="0" fillId="0" borderId="0" xfId="0" applyNumberFormat="1"/>
    <xf numFmtId="43" fontId="7" fillId="0" borderId="0" xfId="0" applyNumberFormat="1" applyFont="1" applyFill="1"/>
    <xf numFmtId="0" fontId="3" fillId="0" borderId="0" xfId="0" applyFont="1"/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zoomScaleNormal="100" workbookViewId="0">
      <selection activeCell="B35" sqref="B35"/>
    </sheetView>
  </sheetViews>
  <sheetFormatPr defaultRowHeight="15" x14ac:dyDescent="0.25"/>
  <cols>
    <col min="2" max="2" width="19.42578125" customWidth="1"/>
    <col min="3" max="5" width="9.42578125" bestFit="1" customWidth="1"/>
    <col min="6" max="6" width="9.42578125" customWidth="1"/>
    <col min="7" max="7" width="12.85546875" customWidth="1"/>
    <col min="8" max="8" width="9.42578125" bestFit="1" customWidth="1"/>
    <col min="9" max="9" width="9.140625" customWidth="1"/>
    <col min="10" max="10" width="9.140625" style="7" customWidth="1"/>
    <col min="11" max="13" width="9.140625" customWidth="1"/>
  </cols>
  <sheetData>
    <row r="1" spans="1:12" x14ac:dyDescent="0.25">
      <c r="A1" s="52" t="s">
        <v>36</v>
      </c>
    </row>
    <row r="2" spans="1:12" x14ac:dyDescent="0.25">
      <c r="A2" s="52" t="s">
        <v>52</v>
      </c>
    </row>
    <row r="3" spans="1:12" x14ac:dyDescent="0.25">
      <c r="F3" s="1"/>
      <c r="G3" s="51"/>
    </row>
    <row r="4" spans="1:12" x14ac:dyDescent="0.25">
      <c r="D4" t="s">
        <v>0</v>
      </c>
    </row>
    <row r="5" spans="1:12" x14ac:dyDescent="0.25">
      <c r="B5" t="s">
        <v>37</v>
      </c>
      <c r="C5" s="1">
        <v>80000</v>
      </c>
      <c r="D5" s="2">
        <f>C5/8</f>
        <v>10000</v>
      </c>
      <c r="E5" s="2"/>
      <c r="F5" s="2"/>
      <c r="I5" s="57">
        <f>I14</f>
        <v>3.12</v>
      </c>
      <c r="J5" s="7" t="s">
        <v>38</v>
      </c>
    </row>
    <row r="6" spans="1:12" x14ac:dyDescent="0.25">
      <c r="B6" t="s">
        <v>39</v>
      </c>
      <c r="C6" s="1">
        <v>12000</v>
      </c>
      <c r="D6" s="2">
        <f>C6/12</f>
        <v>1000</v>
      </c>
      <c r="E6" s="2"/>
      <c r="F6" s="2"/>
    </row>
    <row r="7" spans="1:12" x14ac:dyDescent="0.25">
      <c r="C7" s="5" t="s">
        <v>40</v>
      </c>
      <c r="D7" s="6">
        <f>D6+D5</f>
        <v>11000</v>
      </c>
      <c r="E7" t="s">
        <v>35</v>
      </c>
      <c r="I7" s="52">
        <v>3.2</v>
      </c>
      <c r="J7" s="53" t="s">
        <v>41</v>
      </c>
    </row>
    <row r="8" spans="1:12" x14ac:dyDescent="0.25">
      <c r="C8" s="1"/>
      <c r="J8" s="7" t="s">
        <v>42</v>
      </c>
    </row>
    <row r="9" spans="1:12" ht="75" x14ac:dyDescent="0.25">
      <c r="C9" s="1"/>
      <c r="D9" s="3" t="s">
        <v>43</v>
      </c>
      <c r="E9" s="3" t="s">
        <v>44</v>
      </c>
      <c r="F9" s="3" t="s">
        <v>45</v>
      </c>
      <c r="G9" s="3" t="s">
        <v>46</v>
      </c>
      <c r="I9" s="6" t="s">
        <v>8</v>
      </c>
      <c r="J9" s="2"/>
      <c r="K9" s="2"/>
    </row>
    <row r="10" spans="1:12" x14ac:dyDescent="0.25">
      <c r="C10" s="4">
        <v>3.2</v>
      </c>
      <c r="D10" s="2">
        <f>D5*C10</f>
        <v>32000</v>
      </c>
      <c r="E10" s="2">
        <f>D7*C10</f>
        <v>35200</v>
      </c>
      <c r="F10" s="2">
        <f>D7*I7</f>
        <v>35200</v>
      </c>
      <c r="G10" s="2">
        <f>D7*I7</f>
        <v>35200</v>
      </c>
      <c r="H10" s="6"/>
      <c r="I10" s="2">
        <f>D7*I7</f>
        <v>35200</v>
      </c>
      <c r="J10" s="2" t="s">
        <v>4</v>
      </c>
      <c r="K10" s="2"/>
      <c r="L10" s="1"/>
    </row>
    <row r="11" spans="1:12" x14ac:dyDescent="0.25">
      <c r="C11" s="4"/>
      <c r="D11" s="2"/>
      <c r="E11" s="2"/>
      <c r="F11" s="2"/>
      <c r="G11" s="2"/>
      <c r="H11" s="2"/>
      <c r="I11" s="2">
        <f>D6*4</f>
        <v>4000</v>
      </c>
      <c r="J11" s="2" t="s">
        <v>5</v>
      </c>
      <c r="K11" s="2"/>
      <c r="L11" s="1"/>
    </row>
    <row r="12" spans="1:12" x14ac:dyDescent="0.25">
      <c r="C12" s="10" t="s">
        <v>2</v>
      </c>
      <c r="D12" s="2">
        <f>D10-4000</f>
        <v>28000</v>
      </c>
      <c r="E12" s="2">
        <f>E10</f>
        <v>35200</v>
      </c>
      <c r="F12" s="2">
        <f>D5*I5</f>
        <v>31200</v>
      </c>
      <c r="G12" s="2">
        <f>D5*I7</f>
        <v>32000</v>
      </c>
      <c r="H12" s="2"/>
      <c r="I12" s="2">
        <f>I10-I11</f>
        <v>31200</v>
      </c>
      <c r="J12" t="s">
        <v>6</v>
      </c>
      <c r="K12" s="2"/>
      <c r="L12" s="1"/>
    </row>
    <row r="13" spans="1:12" x14ac:dyDescent="0.25">
      <c r="C13" s="11" t="s">
        <v>1</v>
      </c>
      <c r="D13" s="2">
        <v>4000</v>
      </c>
      <c r="E13" s="2">
        <v>4000</v>
      </c>
      <c r="F13" s="2">
        <f>4000-F14</f>
        <v>880</v>
      </c>
      <c r="G13" s="2">
        <f>(D6*4)-G14</f>
        <v>800</v>
      </c>
      <c r="H13" s="17"/>
      <c r="I13" s="1">
        <f>D5</f>
        <v>10000</v>
      </c>
      <c r="J13" s="2" t="s">
        <v>7</v>
      </c>
      <c r="K13" s="2"/>
      <c r="L13" s="1"/>
    </row>
    <row r="14" spans="1:12" x14ac:dyDescent="0.25">
      <c r="C14" s="11" t="s">
        <v>3</v>
      </c>
      <c r="D14" s="2">
        <v>0</v>
      </c>
      <c r="E14" s="2">
        <v>0</v>
      </c>
      <c r="F14" s="2">
        <f>I5*D6</f>
        <v>3120</v>
      </c>
      <c r="G14" s="2">
        <f>D6*I7</f>
        <v>3200</v>
      </c>
      <c r="H14" s="17"/>
      <c r="I14" s="56">
        <f>I12/I13</f>
        <v>3.12</v>
      </c>
      <c r="J14" s="2" t="s">
        <v>9</v>
      </c>
      <c r="K14" s="2"/>
      <c r="L14" s="1"/>
    </row>
    <row r="15" spans="1:12" x14ac:dyDescent="0.25">
      <c r="C15" s="1"/>
      <c r="D15" s="2"/>
      <c r="E15" s="2"/>
      <c r="F15" s="2"/>
      <c r="G15" s="2"/>
      <c r="H15" s="2"/>
      <c r="I15" s="7"/>
      <c r="J15" s="1"/>
      <c r="K15" s="1"/>
      <c r="L15" s="1"/>
    </row>
    <row r="16" spans="1:12" x14ac:dyDescent="0.25">
      <c r="C16" s="5"/>
      <c r="D16" s="6">
        <f>SUM(D12:D14)</f>
        <v>32000</v>
      </c>
      <c r="E16" s="54">
        <f>SUM(E12:E14)</f>
        <v>39200</v>
      </c>
      <c r="F16" s="54">
        <f>SUM(F12:F14)</f>
        <v>35200</v>
      </c>
      <c r="G16" s="6">
        <f>SUM(G12:G14)</f>
        <v>36000</v>
      </c>
      <c r="H16" s="6"/>
      <c r="I16" s="7"/>
      <c r="J16" s="5"/>
      <c r="K16" s="5"/>
      <c r="L16" s="1"/>
    </row>
    <row r="17" spans="4:12" x14ac:dyDescent="0.25">
      <c r="D17" s="2"/>
      <c r="E17" s="9"/>
      <c r="F17" s="9"/>
      <c r="G17" s="2"/>
      <c r="I17" s="7"/>
      <c r="J17" s="1"/>
      <c r="K17" s="1"/>
      <c r="L17" s="1"/>
    </row>
    <row r="18" spans="4:12" x14ac:dyDescent="0.25">
      <c r="D18" s="2"/>
      <c r="E18" s="2"/>
      <c r="F18" s="2"/>
      <c r="G18" s="2"/>
      <c r="H18" s="2"/>
      <c r="J18" s="55"/>
      <c r="K18" s="1"/>
      <c r="L18" s="1"/>
    </row>
    <row r="19" spans="4:12" x14ac:dyDescent="0.25">
      <c r="D19" s="2"/>
      <c r="E19" s="2"/>
      <c r="F19" s="2">
        <f>F10</f>
        <v>35200</v>
      </c>
      <c r="G19" s="2" t="s">
        <v>47</v>
      </c>
      <c r="H19" s="2"/>
      <c r="J19" s="55"/>
      <c r="K19" s="1"/>
      <c r="L19" s="1"/>
    </row>
    <row r="20" spans="4:12" x14ac:dyDescent="0.25">
      <c r="D20" s="2"/>
      <c r="E20" s="2"/>
      <c r="F20" s="2">
        <v>4000</v>
      </c>
      <c r="G20" s="2" t="s">
        <v>48</v>
      </c>
      <c r="H20" s="2"/>
      <c r="J20" s="55"/>
      <c r="K20" s="1"/>
      <c r="L20" s="1"/>
    </row>
    <row r="21" spans="4:12" x14ac:dyDescent="0.25">
      <c r="F21" s="2">
        <f>F19-F20</f>
        <v>31200</v>
      </c>
      <c r="G21" t="s">
        <v>49</v>
      </c>
      <c r="H21" s="2"/>
    </row>
    <row r="22" spans="4:12" x14ac:dyDescent="0.25">
      <c r="F22" s="1">
        <v>10000</v>
      </c>
      <c r="G22" s="2" t="s">
        <v>50</v>
      </c>
      <c r="H22" s="2"/>
    </row>
    <row r="23" spans="4:12" x14ac:dyDescent="0.25">
      <c r="F23">
        <f>F21/F22</f>
        <v>3.12</v>
      </c>
      <c r="G23" s="2" t="s">
        <v>51</v>
      </c>
      <c r="H23" s="2"/>
    </row>
    <row r="24" spans="4:12" x14ac:dyDescent="0.25">
      <c r="H2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tabSelected="1" zoomScaleNormal="100" workbookViewId="0">
      <selection activeCell="C26" sqref="C26"/>
    </sheetView>
  </sheetViews>
  <sheetFormatPr defaultRowHeight="15" x14ac:dyDescent="0.25"/>
  <cols>
    <col min="2" max="2" width="21.42578125" customWidth="1"/>
    <col min="3" max="3" width="14.42578125" customWidth="1"/>
    <col min="4" max="4" width="13.7109375" bestFit="1" customWidth="1"/>
    <col min="5" max="5" width="12.140625" customWidth="1"/>
    <col min="6" max="6" width="11.85546875" customWidth="1"/>
    <col min="7" max="7" width="11.140625" bestFit="1" customWidth="1"/>
    <col min="8" max="8" width="12.28515625" bestFit="1" customWidth="1"/>
    <col min="9" max="9" width="12.7109375" customWidth="1"/>
    <col min="10" max="10" width="9.140625" style="7" customWidth="1"/>
    <col min="11" max="13" width="9.140625" customWidth="1"/>
  </cols>
  <sheetData>
    <row r="1" spans="1:21" x14ac:dyDescent="0.25">
      <c r="A1" t="s">
        <v>13</v>
      </c>
      <c r="G1" s="12" t="s">
        <v>34</v>
      </c>
      <c r="H1" s="12"/>
      <c r="I1" s="12"/>
      <c r="N1" s="58" t="s">
        <v>53</v>
      </c>
      <c r="O1" s="58"/>
      <c r="P1" s="58"/>
      <c r="Q1" s="58"/>
      <c r="R1" s="58"/>
      <c r="S1" s="58"/>
      <c r="T1" s="58"/>
      <c r="U1" s="58"/>
    </row>
    <row r="2" spans="1:21" x14ac:dyDescent="0.25">
      <c r="A2" t="s">
        <v>24</v>
      </c>
      <c r="J2"/>
      <c r="K2" s="7"/>
      <c r="N2" s="58" t="s">
        <v>72</v>
      </c>
    </row>
    <row r="3" spans="1:21" x14ac:dyDescent="0.25">
      <c r="C3" s="27" t="s">
        <v>15</v>
      </c>
      <c r="D3" s="16" t="s">
        <v>16</v>
      </c>
      <c r="E3" t="s">
        <v>0</v>
      </c>
      <c r="I3" s="7"/>
      <c r="J3"/>
      <c r="N3" s="58" t="s">
        <v>71</v>
      </c>
    </row>
    <row r="4" spans="1:21" x14ac:dyDescent="0.25">
      <c r="B4" s="13" t="s">
        <v>14</v>
      </c>
      <c r="C4" s="15">
        <v>200000</v>
      </c>
      <c r="D4" s="24">
        <v>8</v>
      </c>
      <c r="E4" s="20">
        <f>C4/D4</f>
        <v>25000</v>
      </c>
      <c r="F4" s="2"/>
      <c r="G4" s="2"/>
      <c r="H4" s="12">
        <v>3.2</v>
      </c>
      <c r="I4" s="7" t="s">
        <v>21</v>
      </c>
      <c r="J4"/>
    </row>
    <row r="5" spans="1:21" x14ac:dyDescent="0.25">
      <c r="B5" s="13" t="s">
        <v>17</v>
      </c>
      <c r="C5" s="19">
        <v>0</v>
      </c>
      <c r="D5" s="23">
        <v>12</v>
      </c>
      <c r="E5" s="20">
        <f>C5/D5</f>
        <v>0</v>
      </c>
      <c r="F5" s="2"/>
      <c r="G5" s="2"/>
      <c r="H5" s="20">
        <f>3.2*E6</f>
        <v>80000</v>
      </c>
      <c r="I5" s="20" t="s">
        <v>33</v>
      </c>
      <c r="J5"/>
    </row>
    <row r="6" spans="1:21" x14ac:dyDescent="0.25">
      <c r="D6" s="5"/>
      <c r="E6" s="26">
        <f>E5+E4</f>
        <v>25000</v>
      </c>
      <c r="F6" s="5" t="s">
        <v>18</v>
      </c>
      <c r="J6"/>
    </row>
    <row r="7" spans="1:21" x14ac:dyDescent="0.25">
      <c r="C7" s="1"/>
      <c r="D7" s="1"/>
      <c r="J7"/>
    </row>
    <row r="8" spans="1:21" ht="45" x14ac:dyDescent="0.25">
      <c r="C8" s="1"/>
      <c r="D8" s="22" t="s">
        <v>25</v>
      </c>
      <c r="E8" s="3" t="s">
        <v>27</v>
      </c>
      <c r="F8" t="s">
        <v>32</v>
      </c>
      <c r="J8"/>
    </row>
    <row r="9" spans="1:21" x14ac:dyDescent="0.25">
      <c r="C9" s="21" t="s">
        <v>28</v>
      </c>
      <c r="D9" s="29">
        <f>E6*H4</f>
        <v>80000</v>
      </c>
      <c r="E9" s="4"/>
      <c r="G9" s="2"/>
      <c r="H9" s="2"/>
      <c r="J9"/>
    </row>
    <row r="10" spans="1:21" x14ac:dyDescent="0.25">
      <c r="C10" s="4"/>
      <c r="D10" s="20"/>
      <c r="E10" s="20"/>
      <c r="H10" s="20"/>
      <c r="J10"/>
    </row>
    <row r="11" spans="1:21" x14ac:dyDescent="0.25">
      <c r="C11" s="10" t="s">
        <v>2</v>
      </c>
      <c r="D11" s="20">
        <f>H4*E4</f>
        <v>80000</v>
      </c>
      <c r="E11" s="4">
        <f>D11/4</f>
        <v>20000</v>
      </c>
      <c r="F11" s="17"/>
      <c r="J11"/>
    </row>
    <row r="12" spans="1:21" x14ac:dyDescent="0.25">
      <c r="C12" s="11" t="s">
        <v>1</v>
      </c>
      <c r="D12" s="20">
        <f>(E5*4)-D13</f>
        <v>0</v>
      </c>
      <c r="E12" s="4">
        <f>D12/4</f>
        <v>0</v>
      </c>
      <c r="F12" s="25" t="e">
        <f>E12/$E$5</f>
        <v>#DIV/0!</v>
      </c>
      <c r="G12" t="s">
        <v>26</v>
      </c>
      <c r="J12"/>
    </row>
    <row r="13" spans="1:21" x14ac:dyDescent="0.25">
      <c r="C13" s="11" t="s">
        <v>3</v>
      </c>
      <c r="D13" s="20">
        <f>H4*E5</f>
        <v>0</v>
      </c>
      <c r="E13" s="4">
        <f>D13/4</f>
        <v>0</v>
      </c>
      <c r="F13" s="25" t="e">
        <f>E13/$E$5</f>
        <v>#DIV/0!</v>
      </c>
      <c r="G13" t="s">
        <v>26</v>
      </c>
      <c r="J13"/>
    </row>
    <row r="14" spans="1:21" x14ac:dyDescent="0.25">
      <c r="C14" s="1"/>
      <c r="D14" s="2"/>
      <c r="J14"/>
    </row>
    <row r="15" spans="1:21" x14ac:dyDescent="0.25">
      <c r="C15" s="18" t="s">
        <v>29</v>
      </c>
      <c r="D15" s="30">
        <f>SUM(D11:D13)</f>
        <v>80000</v>
      </c>
      <c r="E15" s="45">
        <f>SUM(E11:E14)</f>
        <v>20000</v>
      </c>
      <c r="F15" s="48" t="str">
        <f>IF(D15&gt;H5,"USE Faculty CAPPED 3.2 tab","OK")</f>
        <v>OK</v>
      </c>
      <c r="H15" s="20"/>
      <c r="J15"/>
    </row>
    <row r="16" spans="1:21" x14ac:dyDescent="0.25">
      <c r="C16" s="13"/>
      <c r="D16" s="9"/>
      <c r="E16" s="28"/>
      <c r="J16"/>
    </row>
    <row r="17" spans="3:12" x14ac:dyDescent="0.25">
      <c r="C17" s="93" t="s">
        <v>30</v>
      </c>
      <c r="D17" s="32"/>
      <c r="E17" s="32"/>
      <c r="F17" s="32"/>
      <c r="G17" s="32"/>
      <c r="H17" s="32"/>
      <c r="I17" s="33"/>
      <c r="J17"/>
    </row>
    <row r="18" spans="3:12" x14ac:dyDescent="0.25">
      <c r="C18" s="94" t="s">
        <v>19</v>
      </c>
      <c r="D18" s="35" t="s">
        <v>23</v>
      </c>
      <c r="E18" s="35" t="s">
        <v>10</v>
      </c>
      <c r="F18" s="35" t="s">
        <v>11</v>
      </c>
      <c r="G18" s="35" t="s">
        <v>12</v>
      </c>
      <c r="H18" s="35" t="s">
        <v>20</v>
      </c>
      <c r="I18" s="36" t="s">
        <v>22</v>
      </c>
      <c r="J18" s="49"/>
      <c r="K18" s="7"/>
      <c r="L18" s="7"/>
    </row>
    <row r="19" spans="3:12" x14ac:dyDescent="0.25">
      <c r="C19" s="69">
        <v>555551</v>
      </c>
      <c r="D19" s="50">
        <v>1</v>
      </c>
      <c r="E19" s="39">
        <f>D19*$E$11</f>
        <v>20000</v>
      </c>
      <c r="F19" s="39">
        <f>D19*$E$11</f>
        <v>20000</v>
      </c>
      <c r="G19" s="39">
        <f>D19*$E$11</f>
        <v>20000</v>
      </c>
      <c r="H19" s="39">
        <f>D19*$E$11</f>
        <v>20000</v>
      </c>
      <c r="I19" s="40">
        <f t="shared" ref="I19:I24" si="0">SUM(E19:H19)</f>
        <v>80000</v>
      </c>
      <c r="J19"/>
      <c r="K19" s="8"/>
    </row>
    <row r="20" spans="3:12" x14ac:dyDescent="0.25">
      <c r="C20" s="69"/>
      <c r="D20" s="50"/>
      <c r="E20" s="39">
        <f>D20*$E$11</f>
        <v>0</v>
      </c>
      <c r="F20" s="39">
        <f t="shared" ref="F20:F24" si="1">D20*$E$11</f>
        <v>0</v>
      </c>
      <c r="G20" s="39">
        <f t="shared" ref="G20:G24" si="2">D20*$E$11</f>
        <v>0</v>
      </c>
      <c r="H20" s="39">
        <f t="shared" ref="H20:H24" si="3">D20*$E$11</f>
        <v>0</v>
      </c>
      <c r="I20" s="40">
        <f t="shared" si="0"/>
        <v>0</v>
      </c>
      <c r="J20"/>
      <c r="K20" s="7"/>
    </row>
    <row r="21" spans="3:12" x14ac:dyDescent="0.25">
      <c r="C21" s="69"/>
      <c r="D21" s="50"/>
      <c r="E21" s="39">
        <f t="shared" ref="E21:E24" si="4">D21*$E$11</f>
        <v>0</v>
      </c>
      <c r="F21" s="39">
        <f t="shared" si="1"/>
        <v>0</v>
      </c>
      <c r="G21" s="39">
        <f t="shared" si="2"/>
        <v>0</v>
      </c>
      <c r="H21" s="39">
        <f t="shared" si="3"/>
        <v>0</v>
      </c>
      <c r="I21" s="40">
        <f t="shared" si="0"/>
        <v>0</v>
      </c>
      <c r="J21"/>
      <c r="K21" s="7"/>
    </row>
    <row r="22" spans="3:12" x14ac:dyDescent="0.25">
      <c r="C22" s="69"/>
      <c r="D22" s="50"/>
      <c r="E22" s="39">
        <f t="shared" si="4"/>
        <v>0</v>
      </c>
      <c r="F22" s="39">
        <f t="shared" si="1"/>
        <v>0</v>
      </c>
      <c r="G22" s="39">
        <f t="shared" si="2"/>
        <v>0</v>
      </c>
      <c r="H22" s="39">
        <f t="shared" si="3"/>
        <v>0</v>
      </c>
      <c r="I22" s="40">
        <f t="shared" si="0"/>
        <v>0</v>
      </c>
      <c r="J22"/>
      <c r="K22" s="7"/>
    </row>
    <row r="23" spans="3:12" x14ac:dyDescent="0.25">
      <c r="C23" s="69"/>
      <c r="D23" s="50"/>
      <c r="E23" s="39">
        <f t="shared" si="4"/>
        <v>0</v>
      </c>
      <c r="F23" s="39">
        <f t="shared" si="1"/>
        <v>0</v>
      </c>
      <c r="G23" s="39">
        <f t="shared" si="2"/>
        <v>0</v>
      </c>
      <c r="H23" s="39">
        <f t="shared" si="3"/>
        <v>0</v>
      </c>
      <c r="I23" s="40">
        <f t="shared" si="0"/>
        <v>0</v>
      </c>
      <c r="J23"/>
      <c r="K23" s="7"/>
    </row>
    <row r="24" spans="3:12" x14ac:dyDescent="0.25">
      <c r="C24" s="69">
        <v>222222</v>
      </c>
      <c r="D24" s="50"/>
      <c r="E24" s="39">
        <f t="shared" si="4"/>
        <v>0</v>
      </c>
      <c r="F24" s="39">
        <f t="shared" si="1"/>
        <v>0</v>
      </c>
      <c r="G24" s="39">
        <f t="shared" si="2"/>
        <v>0</v>
      </c>
      <c r="H24" s="39">
        <f t="shared" si="3"/>
        <v>0</v>
      </c>
      <c r="I24" s="40">
        <f t="shared" si="0"/>
        <v>0</v>
      </c>
      <c r="J24"/>
      <c r="K24" s="7"/>
    </row>
    <row r="25" spans="3:12" x14ac:dyDescent="0.25">
      <c r="C25" s="91" t="s">
        <v>22</v>
      </c>
      <c r="D25" s="42">
        <f t="shared" ref="D25:I25" si="5">SUM(D19:D24)</f>
        <v>1</v>
      </c>
      <c r="E25" s="43">
        <f t="shared" si="5"/>
        <v>20000</v>
      </c>
      <c r="F25" s="43">
        <f t="shared" si="5"/>
        <v>20000</v>
      </c>
      <c r="G25" s="43">
        <f t="shared" si="5"/>
        <v>20000</v>
      </c>
      <c r="H25" s="43">
        <f t="shared" si="5"/>
        <v>20000</v>
      </c>
      <c r="I25" s="44">
        <f t="shared" si="5"/>
        <v>80000</v>
      </c>
      <c r="J25"/>
      <c r="K25" s="7"/>
    </row>
    <row r="26" spans="3:12" x14ac:dyDescent="0.25">
      <c r="C26" s="92"/>
      <c r="J26"/>
      <c r="K26" s="7"/>
    </row>
    <row r="27" spans="3:12" x14ac:dyDescent="0.25">
      <c r="C27" s="93" t="s">
        <v>31</v>
      </c>
      <c r="D27" s="32"/>
      <c r="E27" s="32"/>
      <c r="F27" s="32"/>
      <c r="G27" s="32"/>
      <c r="H27" s="32"/>
      <c r="I27" s="33"/>
    </row>
    <row r="28" spans="3:12" x14ac:dyDescent="0.25">
      <c r="C28" s="94" t="s">
        <v>19</v>
      </c>
      <c r="D28" s="35" t="s">
        <v>23</v>
      </c>
      <c r="E28" s="35" t="s">
        <v>10</v>
      </c>
      <c r="F28" s="35" t="s">
        <v>11</v>
      </c>
      <c r="G28" s="35" t="s">
        <v>12</v>
      </c>
      <c r="H28" s="35" t="s">
        <v>20</v>
      </c>
      <c r="I28" s="36" t="s">
        <v>22</v>
      </c>
    </row>
    <row r="29" spans="3:12" x14ac:dyDescent="0.25">
      <c r="C29" s="95">
        <f t="shared" ref="C29:C34" si="6">C19</f>
        <v>555551</v>
      </c>
      <c r="D29" s="46" t="e">
        <f>F13*D19</f>
        <v>#DIV/0!</v>
      </c>
      <c r="E29" s="39" t="e">
        <f>$D$29*$E$5</f>
        <v>#DIV/0!</v>
      </c>
      <c r="F29" s="39" t="e">
        <f t="shared" ref="F29:G29" si="7">$D$29*$E$5</f>
        <v>#DIV/0!</v>
      </c>
      <c r="G29" s="39" t="e">
        <f t="shared" si="7"/>
        <v>#DIV/0!</v>
      </c>
      <c r="H29" s="39" t="e">
        <f>$D$29*$E$5</f>
        <v>#DIV/0!</v>
      </c>
      <c r="I29" s="40" t="e">
        <f t="shared" ref="I29:I34" si="8">SUM(E29:H29)</f>
        <v>#DIV/0!</v>
      </c>
    </row>
    <row r="30" spans="3:12" x14ac:dyDescent="0.25">
      <c r="C30" s="95">
        <f t="shared" si="6"/>
        <v>0</v>
      </c>
      <c r="D30" s="46" t="e">
        <f>F13*D20</f>
        <v>#DIV/0!</v>
      </c>
      <c r="E30" s="39" t="e">
        <f>$D$30*$E$5</f>
        <v>#DIV/0!</v>
      </c>
      <c r="F30" s="39" t="e">
        <f t="shared" ref="F30:H30" si="9">$D$30*$E$5</f>
        <v>#DIV/0!</v>
      </c>
      <c r="G30" s="39" t="e">
        <f t="shared" si="9"/>
        <v>#DIV/0!</v>
      </c>
      <c r="H30" s="39" t="e">
        <f t="shared" si="9"/>
        <v>#DIV/0!</v>
      </c>
      <c r="I30" s="40" t="e">
        <f t="shared" si="8"/>
        <v>#DIV/0!</v>
      </c>
    </row>
    <row r="31" spans="3:12" x14ac:dyDescent="0.25">
      <c r="C31" s="95">
        <f t="shared" si="6"/>
        <v>0</v>
      </c>
      <c r="D31" s="46" t="e">
        <f>F13*D21</f>
        <v>#DIV/0!</v>
      </c>
      <c r="E31" s="39" t="e">
        <f>$D$31*$E$5</f>
        <v>#DIV/0!</v>
      </c>
      <c r="F31" s="39" t="e">
        <f t="shared" ref="F31:H31" si="10">$D$31*$E$5</f>
        <v>#DIV/0!</v>
      </c>
      <c r="G31" s="39" t="e">
        <f t="shared" si="10"/>
        <v>#DIV/0!</v>
      </c>
      <c r="H31" s="39" t="e">
        <f t="shared" si="10"/>
        <v>#DIV/0!</v>
      </c>
      <c r="I31" s="40" t="e">
        <f t="shared" si="8"/>
        <v>#DIV/0!</v>
      </c>
    </row>
    <row r="32" spans="3:12" x14ac:dyDescent="0.25">
      <c r="C32" s="95">
        <f t="shared" si="6"/>
        <v>0</v>
      </c>
      <c r="D32" s="46" t="e">
        <f>F13*D22</f>
        <v>#DIV/0!</v>
      </c>
      <c r="E32" s="39" t="e">
        <f>$D$32*$E$5</f>
        <v>#DIV/0!</v>
      </c>
      <c r="F32" s="39" t="e">
        <f t="shared" ref="F32:H32" si="11">$D$32*$E$5</f>
        <v>#DIV/0!</v>
      </c>
      <c r="G32" s="39" t="e">
        <f t="shared" si="11"/>
        <v>#DIV/0!</v>
      </c>
      <c r="H32" s="39" t="e">
        <f t="shared" si="11"/>
        <v>#DIV/0!</v>
      </c>
      <c r="I32" s="40" t="e">
        <f t="shared" si="8"/>
        <v>#DIV/0!</v>
      </c>
    </row>
    <row r="33" spans="3:9" x14ac:dyDescent="0.25">
      <c r="C33" s="95">
        <f t="shared" si="6"/>
        <v>0</v>
      </c>
      <c r="D33" s="46" t="e">
        <f>F13*D23</f>
        <v>#DIV/0!</v>
      </c>
      <c r="E33" s="39" t="e">
        <f>$D$33*$E$5</f>
        <v>#DIV/0!</v>
      </c>
      <c r="F33" s="39" t="e">
        <f t="shared" ref="F33:H33" si="12">$D$33*$E$5</f>
        <v>#DIV/0!</v>
      </c>
      <c r="G33" s="39" t="e">
        <f t="shared" si="12"/>
        <v>#DIV/0!</v>
      </c>
      <c r="H33" s="39" t="e">
        <f t="shared" si="12"/>
        <v>#DIV/0!</v>
      </c>
      <c r="I33" s="40" t="e">
        <f t="shared" si="8"/>
        <v>#DIV/0!</v>
      </c>
    </row>
    <row r="34" spans="3:9" x14ac:dyDescent="0.25">
      <c r="C34" s="95">
        <f t="shared" si="6"/>
        <v>222222</v>
      </c>
      <c r="D34" s="46" t="e">
        <f>F12</f>
        <v>#DIV/0!</v>
      </c>
      <c r="E34" s="39">
        <f>E12</f>
        <v>0</v>
      </c>
      <c r="F34" s="39">
        <f>E12</f>
        <v>0</v>
      </c>
      <c r="G34" s="39">
        <f>E12</f>
        <v>0</v>
      </c>
      <c r="H34" s="39">
        <f>E12</f>
        <v>0</v>
      </c>
      <c r="I34" s="40">
        <f t="shared" si="8"/>
        <v>0</v>
      </c>
    </row>
    <row r="35" spans="3:9" x14ac:dyDescent="0.25">
      <c r="C35" s="91" t="s">
        <v>22</v>
      </c>
      <c r="D35" s="42" t="e">
        <f>SUM(D29:D34)</f>
        <v>#DIV/0!</v>
      </c>
      <c r="E35" s="43" t="e">
        <f>SUM(E29:E34)</f>
        <v>#DIV/0!</v>
      </c>
      <c r="F35" s="43" t="e">
        <f t="shared" ref="F35:H35" si="13">SUM(F29:F34)</f>
        <v>#DIV/0!</v>
      </c>
      <c r="G35" s="43" t="e">
        <f t="shared" si="13"/>
        <v>#DIV/0!</v>
      </c>
      <c r="H35" s="43" t="e">
        <f t="shared" si="13"/>
        <v>#DIV/0!</v>
      </c>
      <c r="I35" s="44" t="e">
        <f>SUM(I29:I34)</f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35"/>
  <sheetViews>
    <sheetView topLeftCell="A7" zoomScaleNormal="100" workbookViewId="0">
      <selection activeCell="D33" sqref="D33"/>
    </sheetView>
  </sheetViews>
  <sheetFormatPr defaultRowHeight="15" x14ac:dyDescent="0.25"/>
  <cols>
    <col min="2" max="2" width="21.42578125" customWidth="1"/>
    <col min="3" max="3" width="14.42578125" customWidth="1"/>
    <col min="4" max="4" width="13.7109375" bestFit="1" customWidth="1"/>
    <col min="5" max="5" width="12.140625" customWidth="1"/>
    <col min="6" max="6" width="11.85546875" customWidth="1"/>
    <col min="7" max="8" width="11.140625" bestFit="1" customWidth="1"/>
    <col min="9" max="9" width="12.7109375" customWidth="1"/>
    <col min="10" max="10" width="10.140625" style="7" customWidth="1"/>
    <col min="11" max="13" width="9.140625" customWidth="1"/>
  </cols>
  <sheetData>
    <row r="1" spans="1:14" x14ac:dyDescent="0.25">
      <c r="A1" t="s">
        <v>13</v>
      </c>
      <c r="G1" s="12" t="s">
        <v>34</v>
      </c>
      <c r="H1" s="12"/>
      <c r="I1" s="12"/>
      <c r="N1" s="58" t="s">
        <v>56</v>
      </c>
    </row>
    <row r="2" spans="1:14" x14ac:dyDescent="0.25">
      <c r="A2" t="s">
        <v>24</v>
      </c>
      <c r="J2"/>
      <c r="K2" s="7"/>
      <c r="N2" s="58" t="s">
        <v>57</v>
      </c>
    </row>
    <row r="3" spans="1:14" x14ac:dyDescent="0.25">
      <c r="C3" s="27" t="s">
        <v>15</v>
      </c>
      <c r="D3" s="16" t="s">
        <v>16</v>
      </c>
      <c r="E3" t="s">
        <v>0</v>
      </c>
      <c r="I3" s="7"/>
      <c r="J3"/>
      <c r="N3" s="58" t="s">
        <v>72</v>
      </c>
    </row>
    <row r="4" spans="1:14" x14ac:dyDescent="0.25">
      <c r="B4" s="13" t="s">
        <v>14</v>
      </c>
      <c r="C4" s="15">
        <v>200000</v>
      </c>
      <c r="D4" s="24">
        <v>8</v>
      </c>
      <c r="E4" s="20">
        <f>C4/D4</f>
        <v>25000</v>
      </c>
      <c r="F4" s="2"/>
      <c r="G4" s="2"/>
      <c r="H4" s="7">
        <v>3.2</v>
      </c>
      <c r="I4" s="7" t="s">
        <v>21</v>
      </c>
      <c r="J4"/>
      <c r="N4" s="58" t="s">
        <v>73</v>
      </c>
    </row>
    <row r="5" spans="1:14" x14ac:dyDescent="0.25">
      <c r="B5" s="13" t="s">
        <v>17</v>
      </c>
      <c r="C5" s="19">
        <v>24000</v>
      </c>
      <c r="D5" s="23">
        <v>12</v>
      </c>
      <c r="E5" s="20">
        <f>C5/D5</f>
        <v>2000</v>
      </c>
      <c r="F5" s="2"/>
      <c r="G5" s="2"/>
      <c r="J5"/>
    </row>
    <row r="6" spans="1:14" x14ac:dyDescent="0.25">
      <c r="D6" s="5"/>
      <c r="E6" s="26">
        <f>E5+E4</f>
        <v>27000</v>
      </c>
      <c r="F6" s="5" t="s">
        <v>18</v>
      </c>
      <c r="J6"/>
    </row>
    <row r="7" spans="1:14" x14ac:dyDescent="0.25">
      <c r="C7" s="1"/>
      <c r="D7" s="1"/>
      <c r="J7"/>
    </row>
    <row r="8" spans="1:14" ht="45" x14ac:dyDescent="0.25">
      <c r="C8" s="1"/>
      <c r="D8" s="22" t="s">
        <v>25</v>
      </c>
      <c r="E8" s="3" t="s">
        <v>27</v>
      </c>
      <c r="F8" t="s">
        <v>32</v>
      </c>
      <c r="J8"/>
    </row>
    <row r="9" spans="1:14" x14ac:dyDescent="0.25">
      <c r="C9" s="21" t="s">
        <v>28</v>
      </c>
      <c r="D9" s="29">
        <f>E6*H4</f>
        <v>86400</v>
      </c>
      <c r="E9" s="4"/>
      <c r="G9" s="2"/>
      <c r="H9" s="2"/>
      <c r="J9" s="6" t="s">
        <v>8</v>
      </c>
      <c r="K9" s="2"/>
      <c r="L9" s="2"/>
    </row>
    <row r="10" spans="1:14" x14ac:dyDescent="0.25">
      <c r="C10" s="4"/>
      <c r="D10" s="20"/>
      <c r="E10" s="20"/>
      <c r="H10" s="20"/>
      <c r="J10" s="2">
        <f>H4*E6</f>
        <v>86400</v>
      </c>
      <c r="K10" s="2" t="s">
        <v>4</v>
      </c>
      <c r="L10" s="2"/>
    </row>
    <row r="11" spans="1:14" x14ac:dyDescent="0.25">
      <c r="C11" s="10" t="s">
        <v>2</v>
      </c>
      <c r="D11" s="20">
        <f>E4*J14</f>
        <v>78400</v>
      </c>
      <c r="E11" s="4">
        <f>D11/4</f>
        <v>19600</v>
      </c>
      <c r="F11" s="17"/>
      <c r="J11" s="2">
        <f>E5*4</f>
        <v>8000</v>
      </c>
      <c r="K11" s="2" t="s">
        <v>5</v>
      </c>
      <c r="L11" s="2"/>
    </row>
    <row r="12" spans="1:14" x14ac:dyDescent="0.25">
      <c r="C12" s="11" t="s">
        <v>1</v>
      </c>
      <c r="D12" s="20">
        <f>(E5*4)-D13</f>
        <v>1728</v>
      </c>
      <c r="E12" s="4">
        <f>D12/4</f>
        <v>432</v>
      </c>
      <c r="F12" s="25">
        <f>E12/$E$5</f>
        <v>0.216</v>
      </c>
      <c r="G12" t="s">
        <v>26</v>
      </c>
      <c r="J12" s="2">
        <f>J10-J11</f>
        <v>78400</v>
      </c>
      <c r="K12" t="s">
        <v>6</v>
      </c>
      <c r="L12" s="2"/>
    </row>
    <row r="13" spans="1:14" x14ac:dyDescent="0.25">
      <c r="C13" s="11" t="s">
        <v>3</v>
      </c>
      <c r="D13" s="20">
        <f>E5*J14</f>
        <v>6272</v>
      </c>
      <c r="E13" s="4">
        <f>D13/4</f>
        <v>1568</v>
      </c>
      <c r="F13" s="25">
        <f>E13/$E$5</f>
        <v>0.78400000000000003</v>
      </c>
      <c r="G13" t="s">
        <v>26</v>
      </c>
      <c r="J13" s="1">
        <f>E4</f>
        <v>25000</v>
      </c>
      <c r="K13" s="2" t="s">
        <v>7</v>
      </c>
      <c r="L13" s="2"/>
    </row>
    <row r="14" spans="1:14" x14ac:dyDescent="0.25">
      <c r="C14" s="1"/>
      <c r="D14" s="2"/>
      <c r="J14" s="14">
        <f>J12/J13</f>
        <v>3.1360000000000001</v>
      </c>
      <c r="K14" s="2" t="s">
        <v>9</v>
      </c>
      <c r="L14" s="2"/>
    </row>
    <row r="15" spans="1:14" x14ac:dyDescent="0.25">
      <c r="C15" s="18" t="s">
        <v>29</v>
      </c>
      <c r="D15" s="30">
        <f>SUM(D11:D13)</f>
        <v>86400</v>
      </c>
      <c r="E15" s="45">
        <f>SUM(E11:E14)</f>
        <v>21600</v>
      </c>
      <c r="F15" s="6"/>
      <c r="J15"/>
    </row>
    <row r="16" spans="1:14" x14ac:dyDescent="0.25">
      <c r="C16" s="13"/>
      <c r="D16" s="9"/>
      <c r="E16" s="28"/>
      <c r="J16"/>
    </row>
    <row r="17" spans="2:12" x14ac:dyDescent="0.25">
      <c r="C17" s="31" t="s">
        <v>30</v>
      </c>
      <c r="D17" s="32"/>
      <c r="E17" s="32"/>
      <c r="F17" s="32"/>
      <c r="G17" s="32"/>
      <c r="H17" s="32"/>
      <c r="I17" s="33"/>
      <c r="J17"/>
    </row>
    <row r="18" spans="2:12" x14ac:dyDescent="0.25">
      <c r="C18" s="34" t="s">
        <v>19</v>
      </c>
      <c r="D18" s="35" t="s">
        <v>23</v>
      </c>
      <c r="E18" s="35" t="s">
        <v>10</v>
      </c>
      <c r="F18" s="35" t="s">
        <v>11</v>
      </c>
      <c r="G18" s="35" t="s">
        <v>12</v>
      </c>
      <c r="H18" s="35" t="s">
        <v>20</v>
      </c>
      <c r="I18" s="36" t="s">
        <v>22</v>
      </c>
      <c r="J18"/>
      <c r="K18" s="7"/>
      <c r="L18" s="7"/>
    </row>
    <row r="19" spans="2:12" x14ac:dyDescent="0.25">
      <c r="B19" s="59"/>
      <c r="C19" s="69" t="s">
        <v>54</v>
      </c>
      <c r="D19" s="38">
        <v>0.5</v>
      </c>
      <c r="E19" s="39">
        <f>D19*$E$11</f>
        <v>9800</v>
      </c>
      <c r="F19" s="39">
        <f>D19*$E$11</f>
        <v>9800</v>
      </c>
      <c r="G19" s="39">
        <f>D19*$E$11</f>
        <v>9800</v>
      </c>
      <c r="H19" s="39">
        <f>D19*$E$11</f>
        <v>9800</v>
      </c>
      <c r="I19" s="40">
        <f t="shared" ref="I19:I24" si="0">SUM(E19:H19)</f>
        <v>39200</v>
      </c>
      <c r="J19"/>
      <c r="K19" s="8"/>
    </row>
    <row r="20" spans="2:12" x14ac:dyDescent="0.25">
      <c r="B20" s="59"/>
      <c r="C20" s="69" t="s">
        <v>55</v>
      </c>
      <c r="D20" s="38">
        <v>0.5</v>
      </c>
      <c r="E20" s="39">
        <f>D20*$E$11</f>
        <v>9800</v>
      </c>
      <c r="F20" s="39">
        <f t="shared" ref="F20:F24" si="1">D20*$E$11</f>
        <v>9800</v>
      </c>
      <c r="G20" s="39">
        <f t="shared" ref="G20:G24" si="2">D20*$E$11</f>
        <v>9800</v>
      </c>
      <c r="H20" s="39">
        <f t="shared" ref="H20:H24" si="3">D20*$E$11</f>
        <v>9800</v>
      </c>
      <c r="I20" s="40">
        <f t="shared" si="0"/>
        <v>39200</v>
      </c>
      <c r="J20"/>
      <c r="K20" s="7"/>
    </row>
    <row r="21" spans="2:12" x14ac:dyDescent="0.25">
      <c r="C21" s="69"/>
      <c r="D21" s="38"/>
      <c r="E21" s="39">
        <f t="shared" ref="E21:E24" si="4">D21*$E$11</f>
        <v>0</v>
      </c>
      <c r="F21" s="39">
        <f t="shared" si="1"/>
        <v>0</v>
      </c>
      <c r="G21" s="39">
        <f t="shared" si="2"/>
        <v>0</v>
      </c>
      <c r="H21" s="39">
        <f t="shared" si="3"/>
        <v>0</v>
      </c>
      <c r="I21" s="40">
        <f t="shared" si="0"/>
        <v>0</v>
      </c>
      <c r="J21"/>
      <c r="K21" s="7"/>
    </row>
    <row r="22" spans="2:12" x14ac:dyDescent="0.25">
      <c r="C22" s="69"/>
      <c r="D22" s="38"/>
      <c r="E22" s="39">
        <f t="shared" si="4"/>
        <v>0</v>
      </c>
      <c r="F22" s="39">
        <f t="shared" si="1"/>
        <v>0</v>
      </c>
      <c r="G22" s="39">
        <f t="shared" si="2"/>
        <v>0</v>
      </c>
      <c r="H22" s="39">
        <f t="shared" si="3"/>
        <v>0</v>
      </c>
      <c r="I22" s="40">
        <f t="shared" si="0"/>
        <v>0</v>
      </c>
      <c r="J22"/>
      <c r="K22" s="7"/>
    </row>
    <row r="23" spans="2:12" x14ac:dyDescent="0.25">
      <c r="C23" s="69"/>
      <c r="D23" s="38"/>
      <c r="E23" s="39">
        <f t="shared" si="4"/>
        <v>0</v>
      </c>
      <c r="F23" s="39">
        <f t="shared" si="1"/>
        <v>0</v>
      </c>
      <c r="G23" s="39">
        <f t="shared" si="2"/>
        <v>0</v>
      </c>
      <c r="H23" s="39">
        <f t="shared" si="3"/>
        <v>0</v>
      </c>
      <c r="I23" s="40">
        <f t="shared" si="0"/>
        <v>0</v>
      </c>
      <c r="J23"/>
      <c r="K23" s="7"/>
    </row>
    <row r="24" spans="2:12" x14ac:dyDescent="0.25">
      <c r="C24" s="69">
        <v>222222</v>
      </c>
      <c r="D24" s="38"/>
      <c r="E24" s="39">
        <f t="shared" si="4"/>
        <v>0</v>
      </c>
      <c r="F24" s="39">
        <f t="shared" si="1"/>
        <v>0</v>
      </c>
      <c r="G24" s="39">
        <f t="shared" si="2"/>
        <v>0</v>
      </c>
      <c r="H24" s="39">
        <f t="shared" si="3"/>
        <v>0</v>
      </c>
      <c r="I24" s="40">
        <f t="shared" si="0"/>
        <v>0</v>
      </c>
      <c r="J24"/>
      <c r="K24" s="7"/>
    </row>
    <row r="25" spans="2:12" x14ac:dyDescent="0.25">
      <c r="C25" s="91" t="s">
        <v>22</v>
      </c>
      <c r="D25" s="42">
        <f t="shared" ref="D25:I25" si="5">SUM(D19:D24)</f>
        <v>1</v>
      </c>
      <c r="E25" s="43">
        <f t="shared" si="5"/>
        <v>19600</v>
      </c>
      <c r="F25" s="43">
        <f t="shared" si="5"/>
        <v>19600</v>
      </c>
      <c r="G25" s="43">
        <f t="shared" si="5"/>
        <v>19600</v>
      </c>
      <c r="H25" s="43">
        <f t="shared" si="5"/>
        <v>19600</v>
      </c>
      <c r="I25" s="44">
        <f t="shared" si="5"/>
        <v>78400</v>
      </c>
      <c r="J25"/>
      <c r="K25" s="7"/>
    </row>
    <row r="26" spans="2:12" x14ac:dyDescent="0.25">
      <c r="C26" s="92"/>
      <c r="J26"/>
      <c r="K26" s="7"/>
    </row>
    <row r="27" spans="2:12" x14ac:dyDescent="0.25">
      <c r="C27" s="93" t="s">
        <v>31</v>
      </c>
      <c r="D27" s="32"/>
      <c r="E27" s="32"/>
      <c r="F27" s="32"/>
      <c r="G27" s="32"/>
      <c r="H27" s="32"/>
      <c r="I27" s="33"/>
    </row>
    <row r="28" spans="2:12" x14ac:dyDescent="0.25">
      <c r="C28" s="94" t="s">
        <v>19</v>
      </c>
      <c r="D28" s="35" t="s">
        <v>23</v>
      </c>
      <c r="E28" s="35" t="s">
        <v>10</v>
      </c>
      <c r="F28" s="35" t="s">
        <v>11</v>
      </c>
      <c r="G28" s="35" t="s">
        <v>12</v>
      </c>
      <c r="H28" s="35" t="s">
        <v>20</v>
      </c>
      <c r="I28" s="36" t="s">
        <v>22</v>
      </c>
    </row>
    <row r="29" spans="2:12" x14ac:dyDescent="0.25">
      <c r="C29" s="95" t="str">
        <f t="shared" ref="C29:C34" si="6">C19</f>
        <v>555551 (NSF)</v>
      </c>
      <c r="D29" s="46">
        <f>F13*D19</f>
        <v>0.39200000000000002</v>
      </c>
      <c r="E29" s="39">
        <f>$D$29*$E$5</f>
        <v>784</v>
      </c>
      <c r="F29" s="39">
        <f t="shared" ref="F29:G29" si="7">$D$29*$E$5</f>
        <v>784</v>
      </c>
      <c r="G29" s="39">
        <f t="shared" si="7"/>
        <v>784</v>
      </c>
      <c r="H29" s="39">
        <f>$D$29*$E$5</f>
        <v>784</v>
      </c>
      <c r="I29" s="40">
        <f t="shared" ref="I29:I34" si="8">SUM(E29:H29)</f>
        <v>3136</v>
      </c>
    </row>
    <row r="30" spans="2:12" x14ac:dyDescent="0.25">
      <c r="C30" s="95" t="str">
        <f t="shared" si="6"/>
        <v>555552 (DOD)</v>
      </c>
      <c r="D30" s="46">
        <f>F13*D20</f>
        <v>0.39200000000000002</v>
      </c>
      <c r="E30" s="39">
        <f>$D$30*$E$5</f>
        <v>784</v>
      </c>
      <c r="F30" s="39">
        <f t="shared" ref="F30:H30" si="9">$D$30*$E$5</f>
        <v>784</v>
      </c>
      <c r="G30" s="39">
        <f t="shared" si="9"/>
        <v>784</v>
      </c>
      <c r="H30" s="39">
        <f t="shared" si="9"/>
        <v>784</v>
      </c>
      <c r="I30" s="40">
        <f t="shared" si="8"/>
        <v>3136</v>
      </c>
    </row>
    <row r="31" spans="2:12" x14ac:dyDescent="0.25">
      <c r="C31" s="95">
        <f t="shared" si="6"/>
        <v>0</v>
      </c>
      <c r="D31" s="47">
        <f>F13*D21</f>
        <v>0</v>
      </c>
      <c r="E31" s="39">
        <f>$D$31*$E$5</f>
        <v>0</v>
      </c>
      <c r="F31" s="39">
        <f t="shared" ref="F31:H31" si="10">$D$31*$E$5</f>
        <v>0</v>
      </c>
      <c r="G31" s="39">
        <f t="shared" si="10"/>
        <v>0</v>
      </c>
      <c r="H31" s="39">
        <f t="shared" si="10"/>
        <v>0</v>
      </c>
      <c r="I31" s="40">
        <f t="shared" si="8"/>
        <v>0</v>
      </c>
    </row>
    <row r="32" spans="2:12" x14ac:dyDescent="0.25">
      <c r="C32" s="95">
        <f t="shared" si="6"/>
        <v>0</v>
      </c>
      <c r="D32" s="47">
        <f>F13*D22</f>
        <v>0</v>
      </c>
      <c r="E32" s="39">
        <f>$D$32*$E$5</f>
        <v>0</v>
      </c>
      <c r="F32" s="39">
        <f t="shared" ref="F32:H32" si="11">$D$32*$E$5</f>
        <v>0</v>
      </c>
      <c r="G32" s="39">
        <f t="shared" si="11"/>
        <v>0</v>
      </c>
      <c r="H32" s="39">
        <f t="shared" si="11"/>
        <v>0</v>
      </c>
      <c r="I32" s="40">
        <f t="shared" si="8"/>
        <v>0</v>
      </c>
    </row>
    <row r="33" spans="3:9" x14ac:dyDescent="0.25">
      <c r="C33" s="95">
        <f t="shared" si="6"/>
        <v>0</v>
      </c>
      <c r="D33" s="47">
        <f>F13*D23</f>
        <v>0</v>
      </c>
      <c r="E33" s="39">
        <f>$D$33*$E$5</f>
        <v>0</v>
      </c>
      <c r="F33" s="39">
        <f t="shared" ref="F33:H33" si="12">$D$33*$E$5</f>
        <v>0</v>
      </c>
      <c r="G33" s="39">
        <f t="shared" si="12"/>
        <v>0</v>
      </c>
      <c r="H33" s="39">
        <f t="shared" si="12"/>
        <v>0</v>
      </c>
      <c r="I33" s="40">
        <f t="shared" si="8"/>
        <v>0</v>
      </c>
    </row>
    <row r="34" spans="3:9" x14ac:dyDescent="0.25">
      <c r="C34" s="95">
        <f t="shared" si="6"/>
        <v>222222</v>
      </c>
      <c r="D34" s="47">
        <f>F12</f>
        <v>0.216</v>
      </c>
      <c r="E34" s="39">
        <f>E12</f>
        <v>432</v>
      </c>
      <c r="F34" s="39">
        <f>E12</f>
        <v>432</v>
      </c>
      <c r="G34" s="39">
        <f>E12</f>
        <v>432</v>
      </c>
      <c r="H34" s="39">
        <f>E12</f>
        <v>432</v>
      </c>
      <c r="I34" s="40">
        <f t="shared" si="8"/>
        <v>1728</v>
      </c>
    </row>
    <row r="35" spans="3:9" x14ac:dyDescent="0.25">
      <c r="C35" s="41" t="s">
        <v>22</v>
      </c>
      <c r="D35" s="42">
        <f>SUM(D29:D34)</f>
        <v>1</v>
      </c>
      <c r="E35" s="43">
        <f>SUM(E29:E34)</f>
        <v>2000</v>
      </c>
      <c r="F35" s="43">
        <f t="shared" ref="F35:H35" si="13">SUM(F29:F34)</f>
        <v>2000</v>
      </c>
      <c r="G35" s="43">
        <f t="shared" si="13"/>
        <v>2000</v>
      </c>
      <c r="H35" s="43">
        <f t="shared" si="13"/>
        <v>2000</v>
      </c>
      <c r="I35" s="44">
        <f>SUM(I29:I34)</f>
        <v>8000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zoomScaleNormal="100" workbookViewId="0">
      <selection activeCell="H10" sqref="H10"/>
    </sheetView>
  </sheetViews>
  <sheetFormatPr defaultRowHeight="15" x14ac:dyDescent="0.25"/>
  <cols>
    <col min="2" max="2" width="21.42578125" customWidth="1"/>
    <col min="3" max="3" width="14.42578125" customWidth="1"/>
    <col min="4" max="4" width="13.7109375" bestFit="1" customWidth="1"/>
    <col min="5" max="5" width="12.140625" customWidth="1"/>
    <col min="6" max="6" width="11.85546875" customWidth="1"/>
    <col min="7" max="7" width="11.140625" bestFit="1" customWidth="1"/>
    <col min="8" max="8" width="12.28515625" bestFit="1" customWidth="1"/>
    <col min="9" max="9" width="12.7109375" customWidth="1"/>
    <col min="10" max="10" width="11.140625" style="7" customWidth="1"/>
    <col min="11" max="11" width="13.42578125" customWidth="1"/>
    <col min="12" max="12" width="14.85546875" customWidth="1"/>
    <col min="13" max="13" width="13.7109375" customWidth="1"/>
    <col min="17" max="17" width="2.28515625" customWidth="1"/>
    <col min="18" max="18" width="13.28515625" customWidth="1"/>
  </cols>
  <sheetData>
    <row r="1" spans="1:22" x14ac:dyDescent="0.25">
      <c r="A1" t="s">
        <v>13</v>
      </c>
      <c r="G1" s="12" t="s">
        <v>34</v>
      </c>
      <c r="H1" s="12"/>
      <c r="I1" s="12"/>
      <c r="N1" s="58" t="s">
        <v>74</v>
      </c>
      <c r="O1" s="58"/>
      <c r="P1" s="58"/>
      <c r="Q1" s="58"/>
      <c r="R1" s="58"/>
      <c r="S1" s="58"/>
      <c r="T1" s="58"/>
      <c r="U1" s="58"/>
    </row>
    <row r="2" spans="1:22" x14ac:dyDescent="0.25">
      <c r="A2" t="s">
        <v>24</v>
      </c>
      <c r="J2"/>
      <c r="K2" s="7"/>
      <c r="N2" s="58" t="s">
        <v>76</v>
      </c>
    </row>
    <row r="3" spans="1:22" x14ac:dyDescent="0.25">
      <c r="C3" s="27" t="s">
        <v>15</v>
      </c>
      <c r="D3" s="16" t="s">
        <v>16</v>
      </c>
      <c r="E3" t="s">
        <v>0</v>
      </c>
      <c r="I3" s="7"/>
      <c r="J3"/>
      <c r="N3" s="58" t="s">
        <v>72</v>
      </c>
    </row>
    <row r="4" spans="1:22" x14ac:dyDescent="0.25">
      <c r="B4" s="13" t="s">
        <v>14</v>
      </c>
      <c r="C4" s="15">
        <v>200000</v>
      </c>
      <c r="D4" s="24">
        <v>8</v>
      </c>
      <c r="E4" s="20">
        <f>C4/D4</f>
        <v>25000</v>
      </c>
      <c r="F4" s="2"/>
      <c r="G4" s="2"/>
      <c r="H4" s="12">
        <v>2</v>
      </c>
      <c r="I4" s="7" t="s">
        <v>21</v>
      </c>
      <c r="J4"/>
      <c r="N4" s="58" t="s">
        <v>73</v>
      </c>
    </row>
    <row r="5" spans="1:22" x14ac:dyDescent="0.25">
      <c r="B5" s="13" t="s">
        <v>17</v>
      </c>
      <c r="C5" s="19">
        <v>24000</v>
      </c>
      <c r="D5" s="23">
        <v>12</v>
      </c>
      <c r="E5" s="20">
        <f>C5/D5</f>
        <v>2000</v>
      </c>
      <c r="F5" s="2"/>
      <c r="G5" s="2"/>
      <c r="H5" s="20">
        <f>3.2*E6</f>
        <v>86400</v>
      </c>
      <c r="I5" s="20" t="s">
        <v>33</v>
      </c>
      <c r="J5"/>
      <c r="N5" s="58" t="s">
        <v>79</v>
      </c>
      <c r="O5" s="87"/>
      <c r="P5" s="87"/>
      <c r="Q5" s="87"/>
      <c r="R5" s="87"/>
    </row>
    <row r="6" spans="1:22" x14ac:dyDescent="0.25">
      <c r="D6" s="5"/>
      <c r="E6" s="26">
        <f>E5+E4</f>
        <v>27000</v>
      </c>
      <c r="F6" s="5" t="s">
        <v>18</v>
      </c>
      <c r="J6"/>
    </row>
    <row r="7" spans="1:22" x14ac:dyDescent="0.25">
      <c r="C7" s="1"/>
      <c r="D7" s="1"/>
      <c r="J7"/>
    </row>
    <row r="8" spans="1:22" ht="45" x14ac:dyDescent="0.25">
      <c r="C8" s="1"/>
      <c r="D8" s="22" t="s">
        <v>25</v>
      </c>
      <c r="E8" s="3" t="s">
        <v>27</v>
      </c>
      <c r="F8" t="s">
        <v>32</v>
      </c>
      <c r="J8"/>
    </row>
    <row r="9" spans="1:22" x14ac:dyDescent="0.25">
      <c r="C9" s="21" t="s">
        <v>28</v>
      </c>
      <c r="D9" s="29">
        <f>E6*H4</f>
        <v>54000</v>
      </c>
      <c r="E9" s="4"/>
      <c r="G9" s="2"/>
      <c r="H9" s="2"/>
      <c r="J9"/>
      <c r="R9" s="62" t="s">
        <v>59</v>
      </c>
      <c r="S9" s="63"/>
      <c r="T9" s="63"/>
      <c r="U9" s="63"/>
      <c r="V9" s="63"/>
    </row>
    <row r="10" spans="1:22" x14ac:dyDescent="0.25">
      <c r="C10" s="4"/>
      <c r="D10" s="20"/>
      <c r="E10" s="20"/>
      <c r="H10" s="20"/>
      <c r="J10"/>
      <c r="R10" s="64">
        <v>197300</v>
      </c>
      <c r="S10" s="63" t="s">
        <v>60</v>
      </c>
      <c r="T10" s="63"/>
      <c r="U10" s="63"/>
      <c r="V10" s="63"/>
    </row>
    <row r="11" spans="1:22" x14ac:dyDescent="0.25">
      <c r="C11" s="10" t="s">
        <v>2</v>
      </c>
      <c r="D11" s="20">
        <f>H4*E4</f>
        <v>50000</v>
      </c>
      <c r="E11" s="4">
        <f>D11/4</f>
        <v>12500</v>
      </c>
      <c r="F11" s="17"/>
      <c r="J11"/>
      <c r="R11" s="64">
        <f>+R10/12</f>
        <v>16441.666666666668</v>
      </c>
      <c r="S11" s="63" t="s">
        <v>61</v>
      </c>
      <c r="T11" s="63"/>
      <c r="U11" s="63"/>
      <c r="V11" s="63"/>
    </row>
    <row r="12" spans="1:22" x14ac:dyDescent="0.25">
      <c r="C12" s="11" t="s">
        <v>1</v>
      </c>
      <c r="D12" s="20">
        <f>(E5*4)-D13</f>
        <v>4000</v>
      </c>
      <c r="E12" s="4">
        <f>D12/4</f>
        <v>1000</v>
      </c>
      <c r="F12" s="25">
        <f>E12/$E$5</f>
        <v>0.5</v>
      </c>
      <c r="G12" t="s">
        <v>26</v>
      </c>
      <c r="J12"/>
      <c r="R12" s="65">
        <f>+H4</f>
        <v>2</v>
      </c>
      <c r="S12" s="63" t="str">
        <f>+I4</f>
        <v>Total Summer Months Research Effort</v>
      </c>
      <c r="T12" s="63"/>
      <c r="U12" s="63"/>
      <c r="V12" s="63"/>
    </row>
    <row r="13" spans="1:22" x14ac:dyDescent="0.25">
      <c r="C13" s="11" t="s">
        <v>3</v>
      </c>
      <c r="D13" s="20">
        <f>H4*E5</f>
        <v>4000</v>
      </c>
      <c r="E13" s="4">
        <f>D13/4</f>
        <v>1000</v>
      </c>
      <c r="F13" s="25">
        <f>E13/$E$5</f>
        <v>0.5</v>
      </c>
      <c r="G13" t="s">
        <v>26</v>
      </c>
      <c r="J13"/>
      <c r="R13" s="66">
        <f>+R12*R11</f>
        <v>32883.333333333336</v>
      </c>
      <c r="S13" s="63" t="s">
        <v>62</v>
      </c>
      <c r="T13" s="63"/>
      <c r="U13" s="63"/>
      <c r="V13" s="63"/>
    </row>
    <row r="14" spans="1:22" x14ac:dyDescent="0.25">
      <c r="C14" s="1"/>
      <c r="D14" s="2"/>
      <c r="J14"/>
    </row>
    <row r="15" spans="1:22" x14ac:dyDescent="0.25">
      <c r="C15" s="18" t="s">
        <v>29</v>
      </c>
      <c r="D15" s="30">
        <f>SUM(D11:D13)</f>
        <v>58000</v>
      </c>
      <c r="E15" s="45">
        <f>SUM(E11:E14)</f>
        <v>14500</v>
      </c>
      <c r="F15" s="48" t="str">
        <f>IF(D15&gt;H5,"USE Faculty CAPPED 3.2 tab","OK")</f>
        <v>OK</v>
      </c>
      <c r="H15" s="20"/>
      <c r="J15"/>
      <c r="M15" s="88"/>
    </row>
    <row r="16" spans="1:22" x14ac:dyDescent="0.25">
      <c r="C16" s="13"/>
      <c r="D16" s="9"/>
      <c r="E16" s="28"/>
      <c r="J16"/>
      <c r="M16" s="88"/>
    </row>
    <row r="17" spans="3:15" x14ac:dyDescent="0.25">
      <c r="C17" s="31" t="s">
        <v>30</v>
      </c>
      <c r="D17" s="32"/>
      <c r="E17" s="32"/>
      <c r="F17" s="32"/>
      <c r="G17" s="32"/>
      <c r="H17" s="32"/>
      <c r="I17" s="33"/>
      <c r="J17"/>
      <c r="M17" s="88"/>
    </row>
    <row r="18" spans="3:15" x14ac:dyDescent="0.25">
      <c r="C18" s="34" t="s">
        <v>19</v>
      </c>
      <c r="D18" s="35" t="s">
        <v>23</v>
      </c>
      <c r="E18" s="35" t="s">
        <v>10</v>
      </c>
      <c r="F18" s="35" t="s">
        <v>11</v>
      </c>
      <c r="G18" s="35" t="s">
        <v>12</v>
      </c>
      <c r="H18" s="35" t="s">
        <v>20</v>
      </c>
      <c r="I18" s="36" t="s">
        <v>22</v>
      </c>
      <c r="J18" s="52" t="s">
        <v>63</v>
      </c>
      <c r="K18" s="49" t="s">
        <v>69</v>
      </c>
      <c r="L18" s="49" t="s">
        <v>66</v>
      </c>
      <c r="M18" s="89" t="s">
        <v>70</v>
      </c>
    </row>
    <row r="19" spans="3:15" x14ac:dyDescent="0.25">
      <c r="C19" s="37" t="s">
        <v>54</v>
      </c>
      <c r="D19" s="50">
        <v>0.5</v>
      </c>
      <c r="E19" s="39">
        <f>D19*$E$11</f>
        <v>6250</v>
      </c>
      <c r="F19" s="39">
        <f>D19*$E$11</f>
        <v>6250</v>
      </c>
      <c r="G19" s="39">
        <f>D19*$E$11</f>
        <v>6250</v>
      </c>
      <c r="H19" s="39">
        <f>D19*$E$11</f>
        <v>6250</v>
      </c>
      <c r="I19" s="40">
        <f t="shared" ref="I19:I24" si="0">SUM(E19:H19)</f>
        <v>25000</v>
      </c>
      <c r="J19" s="72" t="s">
        <v>65</v>
      </c>
      <c r="K19" s="20">
        <f>+IF(J19="No",I19,D19*$R$13)</f>
        <v>25000</v>
      </c>
      <c r="L19" s="39">
        <f>+I19-K19</f>
        <v>0</v>
      </c>
      <c r="M19" s="81"/>
    </row>
    <row r="20" spans="3:15" x14ac:dyDescent="0.25">
      <c r="C20" s="37" t="s">
        <v>58</v>
      </c>
      <c r="D20" s="50">
        <v>0.5</v>
      </c>
      <c r="E20" s="39">
        <f>D20*$E$11</f>
        <v>6250</v>
      </c>
      <c r="F20" s="39">
        <f t="shared" ref="F20:F24" si="1">D20*$E$11</f>
        <v>6250</v>
      </c>
      <c r="G20" s="39">
        <f t="shared" ref="G20:G24" si="2">D20*$E$11</f>
        <v>6250</v>
      </c>
      <c r="H20" s="39">
        <f t="shared" ref="H20:H24" si="3">D20*$E$11</f>
        <v>6250</v>
      </c>
      <c r="I20" s="40">
        <f t="shared" si="0"/>
        <v>25000</v>
      </c>
      <c r="J20" s="73" t="s">
        <v>64</v>
      </c>
      <c r="K20" s="61">
        <f>+IF(J20="No",I20,D20*$R$13)</f>
        <v>16441.666666666668</v>
      </c>
      <c r="L20" s="76">
        <f t="shared" ref="L20:L24" si="4">+I20-K20</f>
        <v>8558.3333333333321</v>
      </c>
      <c r="M20" s="81" t="s">
        <v>80</v>
      </c>
    </row>
    <row r="21" spans="3:15" x14ac:dyDescent="0.25">
      <c r="C21" s="37"/>
      <c r="D21" s="50"/>
      <c r="E21" s="39">
        <f t="shared" ref="E21:E24" si="5">D21*$E$11</f>
        <v>0</v>
      </c>
      <c r="F21" s="39">
        <f t="shared" si="1"/>
        <v>0</v>
      </c>
      <c r="G21" s="39">
        <f t="shared" si="2"/>
        <v>0</v>
      </c>
      <c r="H21" s="39">
        <f t="shared" si="3"/>
        <v>0</v>
      </c>
      <c r="I21" s="40">
        <f t="shared" si="0"/>
        <v>0</v>
      </c>
      <c r="J21" s="73"/>
      <c r="K21" s="29">
        <f t="shared" ref="K21:K23" si="6">+IF(J21="No",I21,D21*$R$13)</f>
        <v>0</v>
      </c>
      <c r="L21" s="76">
        <f t="shared" si="4"/>
        <v>0</v>
      </c>
      <c r="M21" s="81"/>
    </row>
    <row r="22" spans="3:15" x14ac:dyDescent="0.25">
      <c r="C22" s="37"/>
      <c r="D22" s="50"/>
      <c r="E22" s="39">
        <f t="shared" si="5"/>
        <v>0</v>
      </c>
      <c r="F22" s="39">
        <f t="shared" si="1"/>
        <v>0</v>
      </c>
      <c r="G22" s="39">
        <f t="shared" si="2"/>
        <v>0</v>
      </c>
      <c r="H22" s="39">
        <f t="shared" si="3"/>
        <v>0</v>
      </c>
      <c r="I22" s="40">
        <f t="shared" si="0"/>
        <v>0</v>
      </c>
      <c r="J22" s="73"/>
      <c r="K22" s="29">
        <f t="shared" si="6"/>
        <v>0</v>
      </c>
      <c r="L22" s="76">
        <f t="shared" si="4"/>
        <v>0</v>
      </c>
      <c r="M22" s="81"/>
    </row>
    <row r="23" spans="3:15" x14ac:dyDescent="0.25">
      <c r="C23" s="37"/>
      <c r="D23" s="50"/>
      <c r="E23" s="39">
        <f t="shared" si="5"/>
        <v>0</v>
      </c>
      <c r="F23" s="39">
        <f t="shared" si="1"/>
        <v>0</v>
      </c>
      <c r="G23" s="39">
        <f t="shared" si="2"/>
        <v>0</v>
      </c>
      <c r="H23" s="39">
        <f t="shared" si="3"/>
        <v>0</v>
      </c>
      <c r="I23" s="40">
        <f t="shared" si="0"/>
        <v>0</v>
      </c>
      <c r="J23" s="73"/>
      <c r="K23" s="29">
        <f t="shared" si="6"/>
        <v>0</v>
      </c>
      <c r="L23" s="76">
        <f t="shared" si="4"/>
        <v>0</v>
      </c>
      <c r="M23" s="81"/>
    </row>
    <row r="24" spans="3:15" x14ac:dyDescent="0.25">
      <c r="C24" s="69">
        <v>222222</v>
      </c>
      <c r="D24" s="50"/>
      <c r="E24" s="39">
        <f t="shared" si="5"/>
        <v>0</v>
      </c>
      <c r="F24" s="39">
        <f t="shared" si="1"/>
        <v>0</v>
      </c>
      <c r="G24" s="39">
        <f t="shared" si="2"/>
        <v>0</v>
      </c>
      <c r="H24" s="39">
        <f t="shared" si="3"/>
        <v>0</v>
      </c>
      <c r="I24" s="40">
        <f t="shared" si="0"/>
        <v>0</v>
      </c>
      <c r="J24" s="73" t="s">
        <v>65</v>
      </c>
      <c r="K24" s="67">
        <f t="shared" ref="K24" si="7">+I24</f>
        <v>0</v>
      </c>
      <c r="L24" s="67">
        <f t="shared" si="4"/>
        <v>0</v>
      </c>
      <c r="M24" s="81" t="s">
        <v>68</v>
      </c>
    </row>
    <row r="25" spans="3:15" x14ac:dyDescent="0.25">
      <c r="C25" s="41" t="s">
        <v>22</v>
      </c>
      <c r="D25" s="42">
        <f t="shared" ref="D25:I25" si="8">SUM(D19:D24)</f>
        <v>1</v>
      </c>
      <c r="E25" s="43">
        <f t="shared" si="8"/>
        <v>12500</v>
      </c>
      <c r="F25" s="43">
        <f t="shared" si="8"/>
        <v>12500</v>
      </c>
      <c r="G25" s="43">
        <f t="shared" si="8"/>
        <v>12500</v>
      </c>
      <c r="H25" s="43">
        <f t="shared" si="8"/>
        <v>12500</v>
      </c>
      <c r="I25" s="44">
        <f t="shared" si="8"/>
        <v>50000</v>
      </c>
      <c r="J25"/>
      <c r="K25" s="30">
        <f>SUM(K19:K24)</f>
        <v>41441.666666666672</v>
      </c>
      <c r="L25" s="30">
        <f>SUM(L19:L24)</f>
        <v>8558.3333333333321</v>
      </c>
      <c r="M25" s="86">
        <f>+K25+L25</f>
        <v>50000</v>
      </c>
    </row>
    <row r="26" spans="3:15" x14ac:dyDescent="0.25">
      <c r="J26"/>
      <c r="K26" s="7"/>
      <c r="M26" s="79"/>
    </row>
    <row r="27" spans="3:15" x14ac:dyDescent="0.25">
      <c r="C27" s="31" t="s">
        <v>31</v>
      </c>
      <c r="D27" s="32"/>
      <c r="E27" s="32"/>
      <c r="F27" s="32"/>
      <c r="G27" s="32"/>
      <c r="H27" s="32"/>
      <c r="I27" s="33"/>
      <c r="L27" s="7"/>
      <c r="M27" s="81"/>
      <c r="N27" s="7"/>
      <c r="O27" s="7"/>
    </row>
    <row r="28" spans="3:15" x14ac:dyDescent="0.25">
      <c r="C28" s="34" t="s">
        <v>19</v>
      </c>
      <c r="D28" s="35" t="s">
        <v>23</v>
      </c>
      <c r="E28" s="35" t="s">
        <v>10</v>
      </c>
      <c r="F28" s="35" t="s">
        <v>11</v>
      </c>
      <c r="G28" s="35" t="s">
        <v>12</v>
      </c>
      <c r="H28" s="35" t="s">
        <v>20</v>
      </c>
      <c r="I28" s="36" t="s">
        <v>22</v>
      </c>
      <c r="J28" s="52" t="s">
        <v>63</v>
      </c>
      <c r="K28" s="49" t="s">
        <v>69</v>
      </c>
      <c r="L28" s="49" t="s">
        <v>66</v>
      </c>
      <c r="M28" s="89" t="s">
        <v>70</v>
      </c>
      <c r="N28" s="7"/>
      <c r="O28" s="7"/>
    </row>
    <row r="29" spans="3:15" x14ac:dyDescent="0.25">
      <c r="C29" s="95" t="str">
        <f t="shared" ref="C29:C34" si="9">C19</f>
        <v>555551 (NSF)</v>
      </c>
      <c r="D29" s="46">
        <f>F13*D19</f>
        <v>0.25</v>
      </c>
      <c r="E29" s="39">
        <f>$D$29*$E$5</f>
        <v>500</v>
      </c>
      <c r="F29" s="39">
        <f t="shared" ref="F29:G29" si="10">$D$29*$E$5</f>
        <v>500</v>
      </c>
      <c r="G29" s="39">
        <f t="shared" si="10"/>
        <v>500</v>
      </c>
      <c r="H29" s="39">
        <f>$D$29*$E$5</f>
        <v>500</v>
      </c>
      <c r="I29" s="40">
        <f t="shared" ref="I29:I34" si="11">SUM(E29:H29)</f>
        <v>2000</v>
      </c>
      <c r="J29" s="72" t="s">
        <v>65</v>
      </c>
      <c r="K29" s="39">
        <f>+I29</f>
        <v>2000</v>
      </c>
      <c r="L29" s="76">
        <f>+I29-K29</f>
        <v>0</v>
      </c>
      <c r="M29" s="81"/>
      <c r="N29" s="7"/>
      <c r="O29" s="7"/>
    </row>
    <row r="30" spans="3:15" x14ac:dyDescent="0.25">
      <c r="C30" s="95" t="str">
        <f t="shared" si="9"/>
        <v>500002 (NIH)</v>
      </c>
      <c r="D30" s="46">
        <f>F13*D20</f>
        <v>0.25</v>
      </c>
      <c r="E30" s="39">
        <f>$D$30*$E$5</f>
        <v>500</v>
      </c>
      <c r="F30" s="39">
        <f t="shared" ref="F30:H30" si="12">$D$30*$E$5</f>
        <v>500</v>
      </c>
      <c r="G30" s="39">
        <f t="shared" si="12"/>
        <v>500</v>
      </c>
      <c r="H30" s="39">
        <f t="shared" si="12"/>
        <v>500</v>
      </c>
      <c r="I30" s="40">
        <f t="shared" si="11"/>
        <v>2000</v>
      </c>
      <c r="J30" s="73" t="s">
        <v>64</v>
      </c>
      <c r="K30" s="70">
        <v>0</v>
      </c>
      <c r="L30" s="76">
        <f t="shared" ref="L30:L34" si="13">+I30-K30</f>
        <v>2000</v>
      </c>
      <c r="M30" s="81" t="s">
        <v>78</v>
      </c>
      <c r="N30" s="7"/>
      <c r="O30" s="7"/>
    </row>
    <row r="31" spans="3:15" x14ac:dyDescent="0.25">
      <c r="C31" s="95">
        <f t="shared" si="9"/>
        <v>0</v>
      </c>
      <c r="D31" s="46">
        <f>F13*D21</f>
        <v>0</v>
      </c>
      <c r="E31" s="39">
        <f>$D$31*$E$5</f>
        <v>0</v>
      </c>
      <c r="F31" s="39">
        <f t="shared" ref="F31:H31" si="14">$D$31*$E$5</f>
        <v>0</v>
      </c>
      <c r="G31" s="39">
        <f t="shared" si="14"/>
        <v>0</v>
      </c>
      <c r="H31" s="39">
        <f t="shared" si="14"/>
        <v>0</v>
      </c>
      <c r="I31" s="40">
        <f t="shared" si="11"/>
        <v>0</v>
      </c>
      <c r="J31" s="73"/>
      <c r="K31" s="39">
        <f t="shared" ref="K31:K34" si="15">+I31</f>
        <v>0</v>
      </c>
      <c r="L31" s="76">
        <f t="shared" si="13"/>
        <v>0</v>
      </c>
      <c r="M31" s="90"/>
      <c r="N31" s="7"/>
      <c r="O31" s="7"/>
    </row>
    <row r="32" spans="3:15" x14ac:dyDescent="0.25">
      <c r="C32" s="95">
        <f t="shared" si="9"/>
        <v>0</v>
      </c>
      <c r="D32" s="46">
        <f>F13*D22</f>
        <v>0</v>
      </c>
      <c r="E32" s="39">
        <f>$D$32*$E$5</f>
        <v>0</v>
      </c>
      <c r="F32" s="39">
        <f t="shared" ref="F32:H32" si="16">$D$32*$E$5</f>
        <v>0</v>
      </c>
      <c r="G32" s="39">
        <f t="shared" si="16"/>
        <v>0</v>
      </c>
      <c r="H32" s="39">
        <f t="shared" si="16"/>
        <v>0</v>
      </c>
      <c r="I32" s="40">
        <f t="shared" si="11"/>
        <v>0</v>
      </c>
      <c r="J32" s="73"/>
      <c r="K32" s="39">
        <f t="shared" si="15"/>
        <v>0</v>
      </c>
      <c r="L32" s="76">
        <f t="shared" si="13"/>
        <v>0</v>
      </c>
      <c r="M32" s="90"/>
      <c r="N32" s="7"/>
      <c r="O32" s="7"/>
    </row>
    <row r="33" spans="3:13" x14ac:dyDescent="0.25">
      <c r="C33" s="95">
        <f t="shared" si="9"/>
        <v>0</v>
      </c>
      <c r="D33" s="46">
        <f>F13*D23</f>
        <v>0</v>
      </c>
      <c r="E33" s="39">
        <f>$D$33*$E$5</f>
        <v>0</v>
      </c>
      <c r="F33" s="39">
        <f t="shared" ref="F33:H33" si="17">$D$33*$E$5</f>
        <v>0</v>
      </c>
      <c r="G33" s="39">
        <f t="shared" si="17"/>
        <v>0</v>
      </c>
      <c r="H33" s="39">
        <f t="shared" si="17"/>
        <v>0</v>
      </c>
      <c r="I33" s="40">
        <f t="shared" si="11"/>
        <v>0</v>
      </c>
      <c r="J33" s="73"/>
      <c r="K33" s="39">
        <f t="shared" si="15"/>
        <v>0</v>
      </c>
      <c r="L33" s="39">
        <f t="shared" si="13"/>
        <v>0</v>
      </c>
      <c r="M33" s="88"/>
    </row>
    <row r="34" spans="3:13" x14ac:dyDescent="0.25">
      <c r="C34" s="95">
        <f t="shared" si="9"/>
        <v>222222</v>
      </c>
      <c r="D34" s="46">
        <f>F12</f>
        <v>0.5</v>
      </c>
      <c r="E34" s="39">
        <f>E12</f>
        <v>1000</v>
      </c>
      <c r="F34" s="39">
        <f>E12</f>
        <v>1000</v>
      </c>
      <c r="G34" s="39">
        <f>E12</f>
        <v>1000</v>
      </c>
      <c r="H34" s="39">
        <f>E12</f>
        <v>1000</v>
      </c>
      <c r="I34" s="40">
        <f t="shared" si="11"/>
        <v>4000</v>
      </c>
      <c r="J34" s="73" t="s">
        <v>65</v>
      </c>
      <c r="K34" s="68">
        <f t="shared" si="15"/>
        <v>4000</v>
      </c>
      <c r="L34" s="68">
        <f t="shared" si="13"/>
        <v>0</v>
      </c>
      <c r="M34" s="81" t="s">
        <v>68</v>
      </c>
    </row>
    <row r="35" spans="3:13" x14ac:dyDescent="0.25">
      <c r="C35" s="91" t="s">
        <v>22</v>
      </c>
      <c r="D35" s="42">
        <f>SUM(D29:D34)</f>
        <v>1</v>
      </c>
      <c r="E35" s="43">
        <f>SUM(E29:E34)</f>
        <v>2000</v>
      </c>
      <c r="F35" s="43">
        <f t="shared" ref="F35:H35" si="18">SUM(F29:F34)</f>
        <v>2000</v>
      </c>
      <c r="G35" s="43">
        <f t="shared" si="18"/>
        <v>2000</v>
      </c>
      <c r="H35" s="43">
        <f t="shared" si="18"/>
        <v>2000</v>
      </c>
      <c r="I35" s="44">
        <f>SUM(I29:I34)</f>
        <v>8000</v>
      </c>
      <c r="J35"/>
      <c r="K35" s="30">
        <f>SUM(K29:K34)</f>
        <v>6000</v>
      </c>
      <c r="L35" s="30">
        <f>SUM(L29:L34)</f>
        <v>2000</v>
      </c>
      <c r="M35" s="86">
        <f>+K35+L35</f>
        <v>8000</v>
      </c>
    </row>
    <row r="36" spans="3:13" x14ac:dyDescent="0.25">
      <c r="M36" s="88"/>
    </row>
    <row r="37" spans="3:13" s="79" customFormat="1" x14ac:dyDescent="0.25">
      <c r="I37" s="79" t="s">
        <v>22</v>
      </c>
      <c r="J37" s="81"/>
      <c r="K37" s="84" t="s">
        <v>69</v>
      </c>
      <c r="L37" s="84" t="s">
        <v>66</v>
      </c>
      <c r="M37" s="81"/>
    </row>
    <row r="38" spans="3:13" s="79" customFormat="1" x14ac:dyDescent="0.25">
      <c r="E38" s="82"/>
      <c r="F38" s="82"/>
      <c r="G38" s="82"/>
      <c r="H38" s="83" t="str">
        <f>C15</f>
        <v>Total Paid to Faculty During 4 month OAY Period</v>
      </c>
      <c r="I38" s="82">
        <f>+I25+I35</f>
        <v>58000</v>
      </c>
      <c r="J38" s="81"/>
      <c r="K38" s="82">
        <f>+K25+K35</f>
        <v>47441.666666666672</v>
      </c>
      <c r="L38" s="82">
        <f>+L25+L35</f>
        <v>10558.333333333332</v>
      </c>
      <c r="M38" s="82">
        <f>+K38+L38</f>
        <v>58000</v>
      </c>
    </row>
    <row r="39" spans="3:13" x14ac:dyDescent="0.25">
      <c r="M39" s="88"/>
    </row>
    <row r="40" spans="3:13" x14ac:dyDescent="0.25">
      <c r="M40" s="7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V42"/>
  <sheetViews>
    <sheetView topLeftCell="A10" zoomScaleNormal="100" workbookViewId="0">
      <selection activeCell="E41" sqref="E41"/>
    </sheetView>
  </sheetViews>
  <sheetFormatPr defaultRowHeight="15" x14ac:dyDescent="0.25"/>
  <cols>
    <col min="2" max="2" width="21.42578125" customWidth="1"/>
    <col min="3" max="3" width="14.42578125" customWidth="1"/>
    <col min="4" max="4" width="13.7109375" bestFit="1" customWidth="1"/>
    <col min="5" max="5" width="12.140625" customWidth="1"/>
    <col min="6" max="6" width="11.85546875" customWidth="1"/>
    <col min="7" max="8" width="11.140625" bestFit="1" customWidth="1"/>
    <col min="9" max="9" width="12.7109375" customWidth="1"/>
    <col min="10" max="10" width="10.140625" style="7" customWidth="1"/>
    <col min="11" max="11" width="14.5703125" customWidth="1"/>
    <col min="12" max="12" width="15.5703125" customWidth="1"/>
    <col min="13" max="13" width="11.7109375" style="71" customWidth="1"/>
    <col min="14" max="16" width="9" customWidth="1"/>
    <col min="17" max="17" width="2.42578125" customWidth="1"/>
    <col min="18" max="18" width="11.85546875" customWidth="1"/>
  </cols>
  <sheetData>
    <row r="1" spans="1:22" x14ac:dyDescent="0.25">
      <c r="A1" t="s">
        <v>13</v>
      </c>
      <c r="G1" s="12" t="s">
        <v>34</v>
      </c>
      <c r="H1" s="12"/>
      <c r="I1" s="12"/>
      <c r="N1" s="58" t="s">
        <v>75</v>
      </c>
    </row>
    <row r="2" spans="1:22" x14ac:dyDescent="0.25">
      <c r="A2" t="s">
        <v>24</v>
      </c>
      <c r="J2"/>
      <c r="K2" s="7"/>
      <c r="N2" s="58" t="s">
        <v>77</v>
      </c>
    </row>
    <row r="3" spans="1:22" x14ac:dyDescent="0.25">
      <c r="C3" s="27" t="s">
        <v>15</v>
      </c>
      <c r="D3" s="16" t="s">
        <v>16</v>
      </c>
      <c r="E3" t="s">
        <v>0</v>
      </c>
      <c r="I3" s="7"/>
      <c r="J3"/>
      <c r="N3" s="58" t="s">
        <v>72</v>
      </c>
    </row>
    <row r="4" spans="1:22" x14ac:dyDescent="0.25">
      <c r="B4" s="13" t="s">
        <v>14</v>
      </c>
      <c r="C4" s="15">
        <v>200000</v>
      </c>
      <c r="D4" s="24">
        <v>8</v>
      </c>
      <c r="E4" s="20">
        <f>C4/D4</f>
        <v>25000</v>
      </c>
      <c r="F4" s="2"/>
      <c r="G4" s="2"/>
      <c r="H4" s="7">
        <v>3.2</v>
      </c>
      <c r="I4" s="7" t="s">
        <v>21</v>
      </c>
      <c r="J4"/>
      <c r="N4" s="58" t="s">
        <v>73</v>
      </c>
    </row>
    <row r="5" spans="1:22" x14ac:dyDescent="0.25">
      <c r="B5" s="13" t="s">
        <v>17</v>
      </c>
      <c r="C5" s="19">
        <v>24000</v>
      </c>
      <c r="D5" s="23">
        <v>12</v>
      </c>
      <c r="E5" s="20">
        <f>C5/D5</f>
        <v>2000</v>
      </c>
      <c r="F5" s="2"/>
      <c r="G5" s="2"/>
      <c r="J5"/>
      <c r="N5" s="58" t="s">
        <v>79</v>
      </c>
    </row>
    <row r="6" spans="1:22" x14ac:dyDescent="0.25">
      <c r="D6" s="5"/>
      <c r="E6" s="26">
        <f>E5+E4</f>
        <v>27000</v>
      </c>
      <c r="F6" s="5" t="s">
        <v>18</v>
      </c>
      <c r="I6" s="13"/>
      <c r="J6"/>
    </row>
    <row r="7" spans="1:22" x14ac:dyDescent="0.25">
      <c r="C7" s="1"/>
      <c r="D7" s="1"/>
      <c r="J7"/>
    </row>
    <row r="8" spans="1:22" ht="45" x14ac:dyDescent="0.25">
      <c r="C8" s="1"/>
      <c r="D8" s="22" t="s">
        <v>25</v>
      </c>
      <c r="E8" s="3" t="s">
        <v>27</v>
      </c>
      <c r="F8" t="s">
        <v>32</v>
      </c>
      <c r="J8"/>
    </row>
    <row r="9" spans="1:22" x14ac:dyDescent="0.25">
      <c r="C9" s="21" t="s">
        <v>28</v>
      </c>
      <c r="D9" s="29">
        <f>E6*H4</f>
        <v>86400</v>
      </c>
      <c r="E9" s="4"/>
      <c r="G9" s="2"/>
      <c r="H9" s="2"/>
      <c r="J9" s="6" t="s">
        <v>8</v>
      </c>
      <c r="K9" s="2"/>
      <c r="L9" s="2"/>
      <c r="R9" s="62" t="s">
        <v>59</v>
      </c>
      <c r="S9" s="63"/>
      <c r="T9" s="63"/>
      <c r="U9" s="63"/>
      <c r="V9" s="63"/>
    </row>
    <row r="10" spans="1:22" x14ac:dyDescent="0.25">
      <c r="C10" s="4"/>
      <c r="D10" s="20"/>
      <c r="E10" s="20"/>
      <c r="H10" s="20"/>
      <c r="J10" s="2">
        <f>H4*E6</f>
        <v>86400</v>
      </c>
      <c r="K10" s="2" t="s">
        <v>4</v>
      </c>
      <c r="L10" s="2"/>
      <c r="R10" s="64">
        <v>197300</v>
      </c>
      <c r="S10" s="63" t="s">
        <v>60</v>
      </c>
      <c r="T10" s="63"/>
      <c r="U10" s="63"/>
      <c r="V10" s="63"/>
    </row>
    <row r="11" spans="1:22" x14ac:dyDescent="0.25">
      <c r="C11" s="10" t="s">
        <v>2</v>
      </c>
      <c r="D11" s="20">
        <f>E4*J14</f>
        <v>78400</v>
      </c>
      <c r="E11" s="4">
        <f>D11/4</f>
        <v>19600</v>
      </c>
      <c r="F11" s="17"/>
      <c r="J11" s="2">
        <f>E5*4</f>
        <v>8000</v>
      </c>
      <c r="K11" s="2" t="s">
        <v>5</v>
      </c>
      <c r="L11" s="2"/>
      <c r="R11" s="64">
        <f>+R10/12</f>
        <v>16441.666666666668</v>
      </c>
      <c r="S11" s="63" t="s">
        <v>61</v>
      </c>
      <c r="T11" s="63"/>
      <c r="U11" s="63"/>
      <c r="V11" s="63"/>
    </row>
    <row r="12" spans="1:22" x14ac:dyDescent="0.25">
      <c r="C12" s="11" t="s">
        <v>1</v>
      </c>
      <c r="D12" s="20">
        <f>(E5*4)-D13</f>
        <v>1728</v>
      </c>
      <c r="E12" s="4">
        <f>D12/4</f>
        <v>432</v>
      </c>
      <c r="F12" s="25">
        <f>E12/$E$5</f>
        <v>0.216</v>
      </c>
      <c r="G12" t="s">
        <v>26</v>
      </c>
      <c r="J12" s="2">
        <f>J10-J11</f>
        <v>78400</v>
      </c>
      <c r="K12" t="s">
        <v>6</v>
      </c>
      <c r="L12" s="2"/>
      <c r="R12" s="65">
        <f>+H4</f>
        <v>3.2</v>
      </c>
      <c r="S12" s="63" t="str">
        <f>+I4</f>
        <v>Total Summer Months Research Effort</v>
      </c>
      <c r="T12" s="63"/>
      <c r="U12" s="63"/>
      <c r="V12" s="63"/>
    </row>
    <row r="13" spans="1:22" x14ac:dyDescent="0.25">
      <c r="C13" s="11" t="s">
        <v>3</v>
      </c>
      <c r="D13" s="20">
        <f>E5*J14</f>
        <v>6272</v>
      </c>
      <c r="E13" s="4">
        <f>D13/4</f>
        <v>1568</v>
      </c>
      <c r="F13" s="25">
        <f>E13/$E$5</f>
        <v>0.78400000000000003</v>
      </c>
      <c r="G13" t="s">
        <v>26</v>
      </c>
      <c r="J13" s="1">
        <f>E4</f>
        <v>25000</v>
      </c>
      <c r="K13" s="2" t="s">
        <v>7</v>
      </c>
      <c r="L13" s="2"/>
      <c r="R13" s="66">
        <f>+R12*R11</f>
        <v>52613.333333333343</v>
      </c>
      <c r="S13" s="63" t="s">
        <v>62</v>
      </c>
      <c r="T13" s="63"/>
      <c r="U13" s="63"/>
      <c r="V13" s="63"/>
    </row>
    <row r="14" spans="1:22" x14ac:dyDescent="0.25">
      <c r="C14" s="1"/>
      <c r="D14" s="2"/>
      <c r="J14" s="14">
        <f>J12/J13</f>
        <v>3.1360000000000001</v>
      </c>
      <c r="K14" s="2" t="s">
        <v>9</v>
      </c>
      <c r="L14" s="2"/>
      <c r="R14" s="1"/>
    </row>
    <row r="15" spans="1:22" x14ac:dyDescent="0.25">
      <c r="C15" s="18" t="s">
        <v>29</v>
      </c>
      <c r="D15" s="30">
        <f>SUM(D11:D13)</f>
        <v>86400</v>
      </c>
      <c r="E15" s="45">
        <f>SUM(E11:E14)</f>
        <v>21600</v>
      </c>
      <c r="F15" s="6"/>
      <c r="J15"/>
    </row>
    <row r="16" spans="1:22" x14ac:dyDescent="0.25">
      <c r="C16" s="13"/>
      <c r="D16" s="9"/>
      <c r="E16" s="28"/>
      <c r="J16" s="74"/>
    </row>
    <row r="17" spans="2:13" x14ac:dyDescent="0.25">
      <c r="C17" s="31" t="s">
        <v>30</v>
      </c>
      <c r="D17" s="32"/>
      <c r="E17" s="32"/>
      <c r="F17" s="32"/>
      <c r="G17" s="32"/>
      <c r="H17" s="32"/>
      <c r="I17" s="33"/>
      <c r="J17" s="74"/>
      <c r="M17" s="79"/>
    </row>
    <row r="18" spans="2:13" x14ac:dyDescent="0.25">
      <c r="C18" s="34" t="s">
        <v>19</v>
      </c>
      <c r="D18" s="35" t="s">
        <v>23</v>
      </c>
      <c r="E18" s="35" t="s">
        <v>10</v>
      </c>
      <c r="F18" s="35" t="s">
        <v>11</v>
      </c>
      <c r="G18" s="35" t="s">
        <v>12</v>
      </c>
      <c r="H18" s="35" t="s">
        <v>20</v>
      </c>
      <c r="I18" s="36" t="s">
        <v>22</v>
      </c>
      <c r="J18" s="75" t="s">
        <v>63</v>
      </c>
      <c r="K18" s="49" t="s">
        <v>69</v>
      </c>
      <c r="L18" s="49" t="s">
        <v>66</v>
      </c>
      <c r="M18" s="79" t="s">
        <v>70</v>
      </c>
    </row>
    <row r="19" spans="2:13" x14ac:dyDescent="0.25">
      <c r="B19" s="59"/>
      <c r="C19" s="37" t="s">
        <v>54</v>
      </c>
      <c r="D19" s="38">
        <v>0.5</v>
      </c>
      <c r="E19" s="39">
        <f>D19*$E$11</f>
        <v>9800</v>
      </c>
      <c r="F19" s="39">
        <f>D19*$E$11</f>
        <v>9800</v>
      </c>
      <c r="G19" s="39">
        <f>D19*$E$11</f>
        <v>9800</v>
      </c>
      <c r="H19" s="39">
        <f>D19*$E$11</f>
        <v>9800</v>
      </c>
      <c r="I19" s="40">
        <f t="shared" ref="I19:I24" si="0">SUM(E19:H19)</f>
        <v>39200</v>
      </c>
      <c r="J19" s="72" t="s">
        <v>65</v>
      </c>
      <c r="K19" s="20">
        <f>+IF(J19="No",I19,D19*$R$13)</f>
        <v>39200</v>
      </c>
      <c r="L19" s="39">
        <f>+I19-K19</f>
        <v>0</v>
      </c>
      <c r="M19" s="79"/>
    </row>
    <row r="20" spans="2:13" x14ac:dyDescent="0.25">
      <c r="B20" s="59"/>
      <c r="C20" s="37" t="s">
        <v>58</v>
      </c>
      <c r="D20" s="38">
        <v>0.5</v>
      </c>
      <c r="E20" s="39">
        <f>D20*$E$11</f>
        <v>9800</v>
      </c>
      <c r="F20" s="39">
        <f t="shared" ref="F20:F24" si="1">D20*$E$11</f>
        <v>9800</v>
      </c>
      <c r="G20" s="39">
        <f t="shared" ref="G20:G24" si="2">D20*$E$11</f>
        <v>9800</v>
      </c>
      <c r="H20" s="39">
        <f t="shared" ref="H20:H24" si="3">D20*$E$11</f>
        <v>9800</v>
      </c>
      <c r="I20" s="40">
        <f t="shared" si="0"/>
        <v>39200</v>
      </c>
      <c r="J20" s="73" t="s">
        <v>64</v>
      </c>
      <c r="K20" s="61">
        <f>+IF(J20="No",I20,D20*$R$13)</f>
        <v>26306.666666666672</v>
      </c>
      <c r="L20" s="76">
        <f t="shared" ref="L20:L24" si="4">+I20-K20</f>
        <v>12893.333333333328</v>
      </c>
      <c r="M20" s="81" t="s">
        <v>81</v>
      </c>
    </row>
    <row r="21" spans="2:13" x14ac:dyDescent="0.25">
      <c r="C21" s="37"/>
      <c r="D21" s="38"/>
      <c r="E21" s="39">
        <f t="shared" ref="E21:E24" si="5">D21*$E$11</f>
        <v>0</v>
      </c>
      <c r="F21" s="39">
        <f t="shared" si="1"/>
        <v>0</v>
      </c>
      <c r="G21" s="39">
        <f t="shared" si="2"/>
        <v>0</v>
      </c>
      <c r="H21" s="39">
        <f t="shared" si="3"/>
        <v>0</v>
      </c>
      <c r="I21" s="40">
        <f t="shared" si="0"/>
        <v>0</v>
      </c>
      <c r="J21" s="73"/>
      <c r="K21" s="29">
        <f t="shared" ref="K21:K23" si="6">+IF(J21="No",I21,D21*$R$13)</f>
        <v>0</v>
      </c>
      <c r="L21" s="76">
        <f t="shared" si="4"/>
        <v>0</v>
      </c>
      <c r="M21" s="81"/>
    </row>
    <row r="22" spans="2:13" x14ac:dyDescent="0.25">
      <c r="C22" s="37"/>
      <c r="D22" s="38"/>
      <c r="E22" s="39">
        <f t="shared" si="5"/>
        <v>0</v>
      </c>
      <c r="F22" s="39">
        <f t="shared" si="1"/>
        <v>0</v>
      </c>
      <c r="G22" s="39">
        <f t="shared" si="2"/>
        <v>0</v>
      </c>
      <c r="H22" s="39">
        <f t="shared" si="3"/>
        <v>0</v>
      </c>
      <c r="I22" s="40">
        <f t="shared" si="0"/>
        <v>0</v>
      </c>
      <c r="J22" s="73"/>
      <c r="K22" s="29">
        <f t="shared" si="6"/>
        <v>0</v>
      </c>
      <c r="L22" s="76">
        <f t="shared" si="4"/>
        <v>0</v>
      </c>
      <c r="M22" s="81"/>
    </row>
    <row r="23" spans="2:13" x14ac:dyDescent="0.25">
      <c r="C23" s="37"/>
      <c r="D23" s="38"/>
      <c r="E23" s="39">
        <f t="shared" si="5"/>
        <v>0</v>
      </c>
      <c r="F23" s="39">
        <f t="shared" si="1"/>
        <v>0</v>
      </c>
      <c r="G23" s="39">
        <f t="shared" si="2"/>
        <v>0</v>
      </c>
      <c r="H23" s="39">
        <f t="shared" si="3"/>
        <v>0</v>
      </c>
      <c r="I23" s="40">
        <f t="shared" si="0"/>
        <v>0</v>
      </c>
      <c r="J23" s="73"/>
      <c r="K23" s="29">
        <f t="shared" si="6"/>
        <v>0</v>
      </c>
      <c r="L23" s="76">
        <f t="shared" si="4"/>
        <v>0</v>
      </c>
      <c r="M23" s="81"/>
    </row>
    <row r="24" spans="2:13" x14ac:dyDescent="0.25">
      <c r="C24" s="69">
        <v>222222</v>
      </c>
      <c r="D24" s="38"/>
      <c r="E24" s="39">
        <f t="shared" si="5"/>
        <v>0</v>
      </c>
      <c r="F24" s="39">
        <f t="shared" si="1"/>
        <v>0</v>
      </c>
      <c r="G24" s="39">
        <f t="shared" si="2"/>
        <v>0</v>
      </c>
      <c r="H24" s="39">
        <f t="shared" si="3"/>
        <v>0</v>
      </c>
      <c r="I24" s="40">
        <f t="shared" si="0"/>
        <v>0</v>
      </c>
      <c r="J24" s="73" t="s">
        <v>65</v>
      </c>
      <c r="K24" s="67">
        <f t="shared" ref="K24" si="7">+I24</f>
        <v>0</v>
      </c>
      <c r="L24" s="67">
        <f t="shared" si="4"/>
        <v>0</v>
      </c>
      <c r="M24" s="81" t="s">
        <v>68</v>
      </c>
    </row>
    <row r="25" spans="2:13" x14ac:dyDescent="0.25">
      <c r="C25" s="41" t="s">
        <v>22</v>
      </c>
      <c r="D25" s="42">
        <f t="shared" ref="D25:I25" si="8">SUM(D19:D24)</f>
        <v>1</v>
      </c>
      <c r="E25" s="43">
        <f t="shared" si="8"/>
        <v>19600</v>
      </c>
      <c r="F25" s="43">
        <f t="shared" si="8"/>
        <v>19600</v>
      </c>
      <c r="G25" s="43">
        <f t="shared" si="8"/>
        <v>19600</v>
      </c>
      <c r="H25" s="43">
        <f t="shared" si="8"/>
        <v>19600</v>
      </c>
      <c r="I25" s="44">
        <f t="shared" si="8"/>
        <v>78400</v>
      </c>
      <c r="J25" s="74"/>
      <c r="K25" s="30">
        <f>SUM(K19:K24)</f>
        <v>65506.666666666672</v>
      </c>
      <c r="L25" s="30">
        <f>SUM(L19:L24)</f>
        <v>12893.333333333328</v>
      </c>
      <c r="M25" s="86">
        <f>+K25+L25</f>
        <v>78400</v>
      </c>
    </row>
    <row r="26" spans="2:13" x14ac:dyDescent="0.25">
      <c r="J26" s="74"/>
      <c r="K26" s="7"/>
      <c r="L26" s="7"/>
      <c r="M26" s="81"/>
    </row>
    <row r="27" spans="2:13" x14ac:dyDescent="0.25">
      <c r="C27" s="31" t="s">
        <v>31</v>
      </c>
      <c r="D27" s="32"/>
      <c r="E27" s="32"/>
      <c r="F27" s="32"/>
      <c r="G27" s="32"/>
      <c r="H27" s="32"/>
      <c r="I27" s="33"/>
      <c r="J27" s="60"/>
      <c r="L27" s="7"/>
      <c r="M27" s="77"/>
    </row>
    <row r="28" spans="2:13" x14ac:dyDescent="0.25">
      <c r="C28" s="34" t="s">
        <v>19</v>
      </c>
      <c r="D28" s="35" t="s">
        <v>23</v>
      </c>
      <c r="E28" s="35" t="s">
        <v>10</v>
      </c>
      <c r="F28" s="35" t="s">
        <v>11</v>
      </c>
      <c r="G28" s="35" t="s">
        <v>12</v>
      </c>
      <c r="H28" s="35" t="s">
        <v>20</v>
      </c>
      <c r="I28" s="36" t="s">
        <v>22</v>
      </c>
      <c r="J28" s="75" t="s">
        <v>63</v>
      </c>
      <c r="K28" s="49" t="s">
        <v>69</v>
      </c>
      <c r="L28" s="49" t="s">
        <v>66</v>
      </c>
      <c r="M28" s="79" t="s">
        <v>70</v>
      </c>
    </row>
    <row r="29" spans="2:13" x14ac:dyDescent="0.25">
      <c r="C29" s="95" t="str">
        <f t="shared" ref="C29:C34" si="9">C19</f>
        <v>555551 (NSF)</v>
      </c>
      <c r="D29" s="46">
        <f>F13*D19</f>
        <v>0.39200000000000002</v>
      </c>
      <c r="E29" s="39">
        <f>$D$29*$E$5</f>
        <v>784</v>
      </c>
      <c r="F29" s="39">
        <f t="shared" ref="F29:G29" si="10">$D$29*$E$5</f>
        <v>784</v>
      </c>
      <c r="G29" s="39">
        <f t="shared" si="10"/>
        <v>784</v>
      </c>
      <c r="H29" s="39">
        <f>$D$29*$E$5</f>
        <v>784</v>
      </c>
      <c r="I29" s="40">
        <f t="shared" ref="I29:I34" si="11">SUM(E29:H29)</f>
        <v>3136</v>
      </c>
      <c r="J29" s="72" t="s">
        <v>65</v>
      </c>
      <c r="K29" s="39">
        <f>+IF(J29="No",I29,0)</f>
        <v>3136</v>
      </c>
      <c r="L29" s="76">
        <f>+I29-K29</f>
        <v>0</v>
      </c>
      <c r="M29" s="81"/>
    </row>
    <row r="30" spans="2:13" x14ac:dyDescent="0.25">
      <c r="C30" s="95" t="str">
        <f t="shared" si="9"/>
        <v>500002 (NIH)</v>
      </c>
      <c r="D30" s="46">
        <f>F13*D20</f>
        <v>0.39200000000000002</v>
      </c>
      <c r="E30" s="39">
        <f>$D$30*$E$5</f>
        <v>784</v>
      </c>
      <c r="F30" s="39">
        <f t="shared" ref="F30:H30" si="12">$D$30*$E$5</f>
        <v>784</v>
      </c>
      <c r="G30" s="39">
        <f t="shared" si="12"/>
        <v>784</v>
      </c>
      <c r="H30" s="39">
        <f t="shared" si="12"/>
        <v>784</v>
      </c>
      <c r="I30" s="40">
        <f t="shared" si="11"/>
        <v>3136</v>
      </c>
      <c r="J30" s="73" t="s">
        <v>64</v>
      </c>
      <c r="K30" s="70">
        <f t="shared" ref="K30:K34" si="13">+IF(J30="No",I30,0)</f>
        <v>0</v>
      </c>
      <c r="L30" s="76">
        <f t="shared" ref="L30:L34" si="14">+I30-K30</f>
        <v>3136</v>
      </c>
      <c r="M30" s="81" t="s">
        <v>78</v>
      </c>
    </row>
    <row r="31" spans="2:13" x14ac:dyDescent="0.25">
      <c r="C31" s="95">
        <f t="shared" si="9"/>
        <v>0</v>
      </c>
      <c r="D31" s="47">
        <f>F13*D21</f>
        <v>0</v>
      </c>
      <c r="E31" s="39">
        <f>$D$31*$E$5</f>
        <v>0</v>
      </c>
      <c r="F31" s="39">
        <f t="shared" ref="F31:H31" si="15">$D$31*$E$5</f>
        <v>0</v>
      </c>
      <c r="G31" s="39">
        <f t="shared" si="15"/>
        <v>0</v>
      </c>
      <c r="H31" s="39">
        <f t="shared" si="15"/>
        <v>0</v>
      </c>
      <c r="I31" s="40">
        <f t="shared" si="11"/>
        <v>0</v>
      </c>
      <c r="J31" s="73"/>
      <c r="K31" s="39">
        <f t="shared" si="13"/>
        <v>0</v>
      </c>
      <c r="L31" s="39">
        <f t="shared" si="14"/>
        <v>0</v>
      </c>
      <c r="M31" s="79"/>
    </row>
    <row r="32" spans="2:13" x14ac:dyDescent="0.25">
      <c r="C32" s="95">
        <f t="shared" si="9"/>
        <v>0</v>
      </c>
      <c r="D32" s="47">
        <f>F13*D22</f>
        <v>0</v>
      </c>
      <c r="E32" s="39">
        <f>$D$32*$E$5</f>
        <v>0</v>
      </c>
      <c r="F32" s="39">
        <f t="shared" ref="F32:H32" si="16">$D$32*$E$5</f>
        <v>0</v>
      </c>
      <c r="G32" s="39">
        <f t="shared" si="16"/>
        <v>0</v>
      </c>
      <c r="H32" s="39">
        <f t="shared" si="16"/>
        <v>0</v>
      </c>
      <c r="I32" s="40">
        <f t="shared" si="11"/>
        <v>0</v>
      </c>
      <c r="J32" s="73"/>
      <c r="K32" s="39">
        <f t="shared" si="13"/>
        <v>0</v>
      </c>
      <c r="L32" s="39">
        <f t="shared" si="14"/>
        <v>0</v>
      </c>
      <c r="M32" s="79"/>
    </row>
    <row r="33" spans="3:13" x14ac:dyDescent="0.25">
      <c r="C33" s="95">
        <f t="shared" si="9"/>
        <v>0</v>
      </c>
      <c r="D33" s="47">
        <f>F13*D23</f>
        <v>0</v>
      </c>
      <c r="E33" s="39">
        <f>$D$33*$E$5</f>
        <v>0</v>
      </c>
      <c r="F33" s="39">
        <f t="shared" ref="F33:H33" si="17">$D$33*$E$5</f>
        <v>0</v>
      </c>
      <c r="G33" s="39">
        <f t="shared" si="17"/>
        <v>0</v>
      </c>
      <c r="H33" s="39">
        <f t="shared" si="17"/>
        <v>0</v>
      </c>
      <c r="I33" s="40">
        <f t="shared" si="11"/>
        <v>0</v>
      </c>
      <c r="J33" s="73"/>
      <c r="K33" s="39">
        <f t="shared" si="13"/>
        <v>0</v>
      </c>
      <c r="L33" s="39">
        <f t="shared" si="14"/>
        <v>0</v>
      </c>
      <c r="M33" s="79"/>
    </row>
    <row r="34" spans="3:13" x14ac:dyDescent="0.25">
      <c r="C34" s="95">
        <f t="shared" si="9"/>
        <v>222222</v>
      </c>
      <c r="D34" s="47">
        <f>F12</f>
        <v>0.216</v>
      </c>
      <c r="E34" s="39">
        <f>E12</f>
        <v>432</v>
      </c>
      <c r="F34" s="39">
        <f>E12</f>
        <v>432</v>
      </c>
      <c r="G34" s="39">
        <f>E12</f>
        <v>432</v>
      </c>
      <c r="H34" s="39">
        <f>E12</f>
        <v>432</v>
      </c>
      <c r="I34" s="40">
        <f t="shared" si="11"/>
        <v>1728</v>
      </c>
      <c r="J34" s="73" t="s">
        <v>65</v>
      </c>
      <c r="K34" s="68">
        <f t="shared" si="13"/>
        <v>1728</v>
      </c>
      <c r="L34" s="68">
        <f t="shared" si="14"/>
        <v>0</v>
      </c>
      <c r="M34" s="79" t="s">
        <v>68</v>
      </c>
    </row>
    <row r="35" spans="3:13" x14ac:dyDescent="0.25">
      <c r="C35" s="91" t="s">
        <v>22</v>
      </c>
      <c r="D35" s="42">
        <f>SUM(D29:D34)</f>
        <v>1</v>
      </c>
      <c r="E35" s="43">
        <f>SUM(E29:E34)</f>
        <v>2000</v>
      </c>
      <c r="F35" s="43">
        <f t="shared" ref="F35:H35" si="18">SUM(F29:F34)</f>
        <v>2000</v>
      </c>
      <c r="G35" s="43">
        <f t="shared" si="18"/>
        <v>2000</v>
      </c>
      <c r="H35" s="43">
        <f t="shared" si="18"/>
        <v>2000</v>
      </c>
      <c r="I35" s="44">
        <f>SUM(I29:I34)</f>
        <v>8000</v>
      </c>
      <c r="J35" s="74"/>
      <c r="K35" s="30">
        <f>SUM(K29:K34)</f>
        <v>4864</v>
      </c>
      <c r="L35" s="30">
        <f>SUM(L29:L34)</f>
        <v>3136</v>
      </c>
      <c r="M35" s="82">
        <f>+K35+L35</f>
        <v>8000</v>
      </c>
    </row>
    <row r="36" spans="3:13" x14ac:dyDescent="0.25">
      <c r="J36" s="60"/>
    </row>
    <row r="37" spans="3:13" s="79" customFormat="1" x14ac:dyDescent="0.25">
      <c r="I37" s="79" t="s">
        <v>22</v>
      </c>
      <c r="J37" s="80"/>
      <c r="K37" s="84" t="s">
        <v>67</v>
      </c>
      <c r="L37" s="84" t="s">
        <v>66</v>
      </c>
      <c r="M37" s="81" t="s">
        <v>22</v>
      </c>
    </row>
    <row r="38" spans="3:13" s="79" customFormat="1" x14ac:dyDescent="0.25">
      <c r="E38" s="82"/>
      <c r="F38" s="82"/>
      <c r="G38" s="82"/>
      <c r="H38" s="83" t="str">
        <f>C15</f>
        <v>Total Paid to Faculty During 4 month OAY Period</v>
      </c>
      <c r="I38" s="82">
        <f>+I25+I35</f>
        <v>86400</v>
      </c>
      <c r="J38" s="80"/>
      <c r="K38" s="82">
        <f>+K25+K35</f>
        <v>70370.666666666672</v>
      </c>
      <c r="L38" s="82">
        <f>+L25+L35</f>
        <v>16029.333333333328</v>
      </c>
      <c r="M38" s="82">
        <f>+K38+L38</f>
        <v>86400</v>
      </c>
    </row>
    <row r="40" spans="3:13" x14ac:dyDescent="0.25">
      <c r="I40" s="20"/>
    </row>
    <row r="41" spans="3:13" x14ac:dyDescent="0.25">
      <c r="C41" s="20"/>
      <c r="I41" s="85"/>
    </row>
    <row r="42" spans="3:13" x14ac:dyDescent="0.25">
      <c r="C42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71FE18A66CA4FA5BCDC25088CDC7A" ma:contentTypeVersion="14" ma:contentTypeDescription="Create a new document." ma:contentTypeScope="" ma:versionID="d5a75b4d2f2cffb277437b74bf8731f2">
  <xsd:schema xmlns:xsd="http://www.w3.org/2001/XMLSchema" xmlns:xs="http://www.w3.org/2001/XMLSchema" xmlns:p="http://schemas.microsoft.com/office/2006/metadata/properties" xmlns:ns1="http://schemas.microsoft.com/sharepoint/v3" xmlns:ns3="1da436dd-fe79-4591-a6b4-39715cb6ae45" xmlns:ns4="5334600c-a240-4e28-9d43-f51c7f157fcb" targetNamespace="http://schemas.microsoft.com/office/2006/metadata/properties" ma:root="true" ma:fieldsID="51188ca4abf915af55c1e21b3e01e5c1" ns1:_="" ns3:_="" ns4:_="">
    <xsd:import namespace="http://schemas.microsoft.com/sharepoint/v3"/>
    <xsd:import namespace="1da436dd-fe79-4591-a6b4-39715cb6ae45"/>
    <xsd:import namespace="5334600c-a240-4e28-9d43-f51c7f157f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436dd-fe79-4591-a6b4-39715cb6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4600c-a240-4e28-9d43-f51c7f157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A1A0D-0825-42C7-81B2-431A254D93E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1da436dd-fe79-4591-a6b4-39715cb6ae45"/>
    <ds:schemaRef ds:uri="http://schemas.microsoft.com/office/2006/metadata/properties"/>
    <ds:schemaRef ds:uri="5334600c-a240-4e28-9d43-f51c7f157fcb"/>
    <ds:schemaRef ds:uri="http://purl.org/dc/elements/1.1/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C24D7A1-3043-4855-9F7F-E9B6EF466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a436dd-fe79-4591-a6b4-39715cb6ae45"/>
    <ds:schemaRef ds:uri="5334600c-a240-4e28-9d43-f51c7f157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40F827-C145-4DC7-AF30-1384786C4D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Historical</vt:lpstr>
      <vt:lpstr>Faculty (Ex 1)</vt:lpstr>
      <vt:lpstr>Faculty CAPPED 3.2 (Ex 2)</vt:lpstr>
      <vt:lpstr>Faculty (Ex3a - NIH)</vt:lpstr>
      <vt:lpstr>Faculty CAPPED 3.2 (Ex3b - NIH)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Tran, Alexandria</dc:creator>
  <cp:lastModifiedBy>Cyr, Joan</cp:lastModifiedBy>
  <dcterms:created xsi:type="dcterms:W3CDTF">2020-01-17T19:15:18Z</dcterms:created>
  <dcterms:modified xsi:type="dcterms:W3CDTF">2020-04-22T17:55:00Z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0x01010018971FE18A66CA4FA5BCDC25088CDC7A</vt:lpwstr>
  </property>
</Properties>
</file>